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teve\Desktop\"/>
    </mc:Choice>
  </mc:AlternateContent>
  <xr:revisionPtr revIDLastSave="0" documentId="13_ncr:1_{C5525177-8CB0-43B6-87DF-173AAEA820C9}" xr6:coauthVersionLast="47" xr6:coauthVersionMax="47" xr10:uidLastSave="{00000000-0000-0000-0000-000000000000}"/>
  <bookViews>
    <workbookView xWindow="-120" yWindow="-120" windowWidth="29040" windowHeight="15720" firstSheet="1" activeTab="6" xr2:uid="{00000000-000D-0000-FFFF-FFFF00000000}"/>
  </bookViews>
  <sheets>
    <sheet name="Historical Financials" sheetId="1" r:id="rId1"/>
    <sheet name="FCF Normalization" sheetId="2" r:id="rId2"/>
    <sheet name="Cash Harvest Model" sheetId="6" r:id="rId3"/>
    <sheet name="Reverse DCF" sheetId="10" r:id="rId4"/>
    <sheet name="DCF Scenarios" sheetId="8" r:id="rId5"/>
    <sheet name="DCF Model" sheetId="11" r:id="rId6"/>
    <sheet name="Summary"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1" l="1"/>
  <c r="B15" i="8"/>
  <c r="B14" i="8"/>
  <c r="B11" i="8"/>
  <c r="B10" i="8"/>
  <c r="B9" i="8"/>
  <c r="B4" i="8"/>
  <c r="B26" i="11"/>
  <c r="B17" i="8"/>
  <c r="J11" i="11"/>
  <c r="J12" i="11"/>
  <c r="J13" i="11"/>
  <c r="J14" i="11"/>
  <c r="J15" i="11"/>
  <c r="J16" i="11"/>
  <c r="J17" i="11"/>
  <c r="J18" i="11"/>
  <c r="J19" i="11"/>
  <c r="J10" i="11"/>
  <c r="B28" i="10"/>
  <c r="H21" i="10"/>
  <c r="H20" i="10"/>
  <c r="H19" i="10"/>
  <c r="H18" i="10"/>
  <c r="H17" i="10"/>
  <c r="H16" i="10"/>
  <c r="H15" i="10"/>
  <c r="H14" i="10"/>
  <c r="H13" i="10"/>
  <c r="H12" i="10"/>
  <c r="B4" i="10"/>
  <c r="B3" i="10"/>
  <c r="B2" i="10"/>
  <c r="B12" i="10" s="1"/>
  <c r="B6" i="8"/>
  <c r="B5" i="8"/>
  <c r="B7" i="6"/>
  <c r="H4" i="6" s="1"/>
  <c r="I12" i="6"/>
  <c r="I4" i="6"/>
  <c r="I5" i="6"/>
  <c r="I6" i="6"/>
  <c r="I7" i="6"/>
  <c r="I8" i="6"/>
  <c r="I9" i="6"/>
  <c r="I10" i="6"/>
  <c r="I11" i="6"/>
  <c r="I3" i="6"/>
  <c r="B6" i="6"/>
  <c r="B2" i="6"/>
  <c r="E3" i="6" s="1"/>
  <c r="B12" i="2"/>
  <c r="B10" i="2"/>
  <c r="B3" i="2"/>
  <c r="B5" i="2" s="1"/>
  <c r="K2" i="5"/>
  <c r="L4" i="1"/>
  <c r="B15" i="1"/>
  <c r="B3" i="6" s="1"/>
  <c r="H5" i="1"/>
  <c r="H6" i="1"/>
  <c r="H7" i="1"/>
  <c r="H8" i="1"/>
  <c r="H9" i="1"/>
  <c r="H10" i="1"/>
  <c r="H11" i="1"/>
  <c r="H12" i="1"/>
  <c r="H13" i="1"/>
  <c r="H4" i="1"/>
  <c r="F5" i="1"/>
  <c r="F6" i="1"/>
  <c r="F7" i="1"/>
  <c r="F8" i="1"/>
  <c r="F9" i="1"/>
  <c r="F10" i="1"/>
  <c r="F11" i="1"/>
  <c r="F12" i="1"/>
  <c r="F13" i="1"/>
  <c r="F4" i="1"/>
  <c r="D5" i="1"/>
  <c r="D6" i="1"/>
  <c r="D7" i="1"/>
  <c r="D8" i="1"/>
  <c r="D9" i="1"/>
  <c r="D10" i="1"/>
  <c r="D11" i="1"/>
  <c r="D12" i="1"/>
  <c r="D13" i="1"/>
  <c r="D4" i="1"/>
  <c r="B10" i="11" l="1"/>
  <c r="C12" i="10"/>
  <c r="B13" i="10"/>
  <c r="F12" i="10"/>
  <c r="H9" i="6"/>
  <c r="H11" i="6"/>
  <c r="H12" i="6"/>
  <c r="H10" i="6"/>
  <c r="H3" i="6"/>
  <c r="H8" i="6"/>
  <c r="H7" i="6"/>
  <c r="H6" i="6"/>
  <c r="H5" i="6"/>
  <c r="E4" i="6"/>
  <c r="B17" i="2"/>
  <c r="M4" i="1"/>
  <c r="H2" i="5"/>
  <c r="L2" i="5"/>
  <c r="M2" i="5" s="1"/>
  <c r="B16" i="1"/>
  <c r="B5" i="6" s="1"/>
  <c r="F3" i="6" s="1"/>
  <c r="G3" i="6" s="1"/>
  <c r="F13" i="10" l="1"/>
  <c r="C13" i="10"/>
  <c r="B14" i="10"/>
  <c r="D12" i="10"/>
  <c r="E12" i="10" s="1"/>
  <c r="J3" i="6"/>
  <c r="F4" i="6"/>
  <c r="G4" i="6" s="1"/>
  <c r="J4" i="6" s="1"/>
  <c r="E5" i="6"/>
  <c r="B18" i="2"/>
  <c r="G3" i="2" s="1"/>
  <c r="F3" i="2"/>
  <c r="I2" i="5"/>
  <c r="J2" i="5" s="1"/>
  <c r="G12" i="10" l="1"/>
  <c r="I12" i="10" s="1"/>
  <c r="B15" i="10"/>
  <c r="F14" i="10"/>
  <c r="C14" i="10"/>
  <c r="D13" i="10"/>
  <c r="E13" i="10" s="1"/>
  <c r="E6" i="6"/>
  <c r="F5" i="6"/>
  <c r="G5" i="6" s="1"/>
  <c r="J5" i="6" s="1"/>
  <c r="G13" i="10" l="1"/>
  <c r="I13" i="10" s="1"/>
  <c r="D14" i="10"/>
  <c r="E14" i="10" s="1"/>
  <c r="C15" i="10"/>
  <c r="B16" i="10"/>
  <c r="F15" i="10"/>
  <c r="E7" i="6"/>
  <c r="F6" i="6"/>
  <c r="G6" i="6" s="1"/>
  <c r="J6" i="6" s="1"/>
  <c r="G14" i="10" l="1"/>
  <c r="I14" i="10" s="1"/>
  <c r="F16" i="10"/>
  <c r="C16" i="10"/>
  <c r="B17" i="10"/>
  <c r="D15" i="10"/>
  <c r="E15" i="10" s="1"/>
  <c r="E8" i="6"/>
  <c r="F7" i="6"/>
  <c r="G7" i="6" s="1"/>
  <c r="J7" i="6" s="1"/>
  <c r="G15" i="10" l="1"/>
  <c r="I15" i="10" s="1"/>
  <c r="B18" i="10"/>
  <c r="F17" i="10"/>
  <c r="C17" i="10"/>
  <c r="D16" i="10"/>
  <c r="E16" i="10" s="1"/>
  <c r="F8" i="6"/>
  <c r="G8" i="6" s="1"/>
  <c r="J8" i="6" s="1"/>
  <c r="E9" i="6"/>
  <c r="G16" i="10" l="1"/>
  <c r="I16" i="10" s="1"/>
  <c r="C18" i="10"/>
  <c r="B19" i="10"/>
  <c r="F18" i="10"/>
  <c r="D17" i="10"/>
  <c r="E17" i="10" s="1"/>
  <c r="F9" i="6"/>
  <c r="G9" i="6" s="1"/>
  <c r="J9" i="6" s="1"/>
  <c r="E10" i="6"/>
  <c r="G17" i="10" l="1"/>
  <c r="I17" i="10" s="1"/>
  <c r="F19" i="10"/>
  <c r="C19" i="10"/>
  <c r="B20" i="10"/>
  <c r="D18" i="10"/>
  <c r="E18" i="10" s="1"/>
  <c r="E11" i="6"/>
  <c r="F10" i="6"/>
  <c r="G10" i="6" s="1"/>
  <c r="J10" i="6" s="1"/>
  <c r="G18" i="10" l="1"/>
  <c r="I18" i="10" s="1"/>
  <c r="B21" i="10"/>
  <c r="F20" i="10"/>
  <c r="C20" i="10"/>
  <c r="D19" i="10"/>
  <c r="E19" i="10" s="1"/>
  <c r="E12" i="6"/>
  <c r="F12" i="6" s="1"/>
  <c r="G12" i="6" s="1"/>
  <c r="J12" i="6" s="1"/>
  <c r="F11" i="6"/>
  <c r="G11" i="6" s="1"/>
  <c r="J11" i="6" s="1"/>
  <c r="G19" i="10" l="1"/>
  <c r="I19" i="10" s="1"/>
  <c r="C21" i="10"/>
  <c r="F21" i="10"/>
  <c r="D20" i="10"/>
  <c r="E20" i="10" s="1"/>
  <c r="J13" i="6"/>
  <c r="G20" i="10" l="1"/>
  <c r="I20" i="10" s="1"/>
  <c r="D21" i="10"/>
  <c r="E21" i="10" s="1"/>
  <c r="G21" i="10" s="1"/>
  <c r="B24" i="10" l="1"/>
  <c r="B25" i="10" s="1"/>
  <c r="B26" i="10" s="1"/>
  <c r="I21" i="10"/>
  <c r="I22" i="10" s="1"/>
  <c r="B23" i="10" s="1"/>
  <c r="B27" i="10" l="1"/>
  <c r="B29" i="10" s="1"/>
  <c r="B3" i="11"/>
  <c r="B11" i="11" s="1"/>
  <c r="B4" i="11"/>
  <c r="C10" i="11" s="1"/>
  <c r="B5" i="11"/>
  <c r="F10" i="11" s="1"/>
  <c r="B6" i="11"/>
  <c r="B7" i="11"/>
  <c r="H10" i="11" l="1"/>
  <c r="K10" i="11" s="1"/>
  <c r="H12" i="11"/>
  <c r="K12" i="11" s="1"/>
  <c r="H15" i="11"/>
  <c r="K15" i="11" s="1"/>
  <c r="H13" i="11"/>
  <c r="K13" i="11" s="1"/>
  <c r="H11" i="11"/>
  <c r="K11" i="11" s="1"/>
  <c r="H14" i="11"/>
  <c r="K14" i="11" s="1"/>
  <c r="H19" i="11"/>
  <c r="K19" i="11" s="1"/>
  <c r="H18" i="11"/>
  <c r="K18" i="11" s="1"/>
  <c r="H17" i="11"/>
  <c r="K17" i="11" s="1"/>
  <c r="H16" i="11"/>
  <c r="K16" i="11" s="1"/>
  <c r="D10" i="11"/>
  <c r="E10" i="11" s="1"/>
  <c r="G10" i="11" s="1"/>
  <c r="C11" i="11"/>
  <c r="F11" i="11"/>
  <c r="B12" i="11"/>
  <c r="I10" i="11" l="1"/>
  <c r="K20" i="11"/>
  <c r="B27" i="11" s="1"/>
  <c r="C12" i="11"/>
  <c r="F12" i="11"/>
  <c r="B13" i="11"/>
  <c r="D11" i="11"/>
  <c r="E11" i="11" s="1"/>
  <c r="G11" i="11" s="1"/>
  <c r="I11" i="11" s="1"/>
  <c r="C13" i="11" l="1"/>
  <c r="F13" i="11"/>
  <c r="D12" i="11"/>
  <c r="E12" i="11" s="1"/>
  <c r="G12" i="11" s="1"/>
  <c r="I12" i="11" s="1"/>
  <c r="B14" i="11"/>
  <c r="C14" i="11" l="1"/>
  <c r="F14" i="11"/>
  <c r="D13" i="11"/>
  <c r="E13" i="11" s="1"/>
  <c r="G13" i="11" s="1"/>
  <c r="I13" i="11" s="1"/>
  <c r="B15" i="11"/>
  <c r="F15" i="11" l="1"/>
  <c r="C15" i="11"/>
  <c r="B16" i="11"/>
  <c r="D14" i="11"/>
  <c r="E14" i="11" s="1"/>
  <c r="G14" i="11" s="1"/>
  <c r="I14" i="11" s="1"/>
  <c r="C16" i="11" l="1"/>
  <c r="F16" i="11"/>
  <c r="D15" i="11"/>
  <c r="E15" i="11" s="1"/>
  <c r="G15" i="11" s="1"/>
  <c r="I15" i="11" s="1"/>
  <c r="B17" i="11"/>
  <c r="C17" i="11" l="1"/>
  <c r="F17" i="11"/>
  <c r="B18" i="11"/>
  <c r="D16" i="11"/>
  <c r="E16" i="11" s="1"/>
  <c r="G16" i="11" s="1"/>
  <c r="I16" i="11" s="1"/>
  <c r="C18" i="11" l="1"/>
  <c r="F18" i="11"/>
  <c r="D17" i="11"/>
  <c r="E17" i="11" s="1"/>
  <c r="G17" i="11" s="1"/>
  <c r="I17" i="11" s="1"/>
  <c r="B19" i="11"/>
  <c r="C19" i="11" l="1"/>
  <c r="F19" i="11"/>
  <c r="D18" i="11"/>
  <c r="E18" i="11" s="1"/>
  <c r="G18" i="11" s="1"/>
  <c r="I18" i="11" s="1"/>
  <c r="D19" i="11" l="1"/>
  <c r="E19" i="11" s="1"/>
  <c r="G19" i="11" s="1"/>
  <c r="B21" i="11" s="1"/>
  <c r="B22" i="11" s="1"/>
  <c r="I19" i="11" l="1"/>
  <c r="I20" i="11" s="1"/>
  <c r="B23" i="11"/>
  <c r="B24" i="11" l="1"/>
  <c r="B28" i="11" s="1"/>
  <c r="B3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M</author>
  </authors>
  <commentList>
    <comment ref="B2" authorId="0" shapeId="0" xr:uid="{7EAF9BE2-5D13-4618-B7C8-67D6123D7B29}">
      <text>
        <r>
          <rPr>
            <b/>
            <sz val="9"/>
            <color indexed="81"/>
            <rFont val="Tahoma"/>
            <family val="2"/>
          </rPr>
          <t>Steven M:</t>
        </r>
        <r>
          <rPr>
            <sz val="9"/>
            <color indexed="81"/>
            <rFont val="Tahoma"/>
            <family val="2"/>
          </rPr>
          <t xml:space="preserve">
This is the cash the business produces before legacy drains.</t>
        </r>
      </text>
    </comment>
    <comment ref="G2" authorId="0" shapeId="0" xr:uid="{490B239C-37AE-46C0-9C14-2AB98A9782AE}">
      <text>
        <r>
          <rPr>
            <sz val="9"/>
            <color indexed="81"/>
            <rFont val="Tahoma"/>
            <family val="2"/>
          </rPr>
          <t>If the business stabilized and pensions faded.
(still to take decline into account)</t>
        </r>
      </text>
    </comment>
    <comment ref="B3" authorId="0" shapeId="0" xr:uid="{8E292C37-8605-497C-A4EA-74E2D119077D}">
      <text>
        <r>
          <rPr>
            <b/>
            <sz val="9"/>
            <color indexed="81"/>
            <rFont val="Tahoma"/>
            <family val="2"/>
          </rPr>
          <t>Steven M:</t>
        </r>
        <r>
          <rPr>
            <sz val="9"/>
            <color indexed="81"/>
            <rFont val="Tahoma"/>
            <family val="2"/>
          </rPr>
          <t xml:space="preserve">
This is what shareholders actually receive today.</t>
        </r>
      </text>
    </comment>
    <comment ref="E3" authorId="0" shapeId="0" xr:uid="{315BB7E5-A840-4332-984D-BB4A29BA3F02}">
      <text>
        <r>
          <rPr>
            <sz val="9"/>
            <color indexed="81"/>
            <rFont val="Tahoma"/>
            <family val="2"/>
          </rPr>
          <t>estimate</t>
        </r>
      </text>
    </comment>
    <comment ref="B5" authorId="0" shapeId="0" xr:uid="{4F1CCEAC-DA3C-4C9F-A50C-8B8D65BBB3EF}">
      <text>
        <r>
          <rPr>
            <b/>
            <sz val="9"/>
            <color indexed="81"/>
            <rFont val="Tahoma"/>
            <family val="2"/>
          </rPr>
          <t>Steven M:</t>
        </r>
        <r>
          <rPr>
            <sz val="9"/>
            <color indexed="81"/>
            <rFont val="Tahoma"/>
            <family val="2"/>
          </rPr>
          <t xml:space="preserve">
the residual
</t>
        </r>
      </text>
    </comment>
    <comment ref="B6" authorId="0" shapeId="0" xr:uid="{34FD2A1A-3C49-4605-9444-30990B4B15C6}">
      <text>
        <r>
          <rPr>
            <b/>
            <sz val="9"/>
            <color indexed="81"/>
            <rFont val="Tahoma"/>
            <family val="2"/>
          </rPr>
          <t>Steven M:</t>
        </r>
        <r>
          <rPr>
            <sz val="9"/>
            <color indexed="81"/>
            <rFont val="Tahoma"/>
            <family val="2"/>
          </rPr>
          <t xml:space="preserve">
reference items, not part of the formula</t>
        </r>
      </text>
    </comment>
    <comment ref="B12" authorId="0" shapeId="0" xr:uid="{79380323-312F-44E5-89D5-989D576D66A0}">
      <text>
        <r>
          <rPr>
            <b/>
            <sz val="9"/>
            <color indexed="81"/>
            <rFont val="Tahoma"/>
            <family val="2"/>
          </rPr>
          <t>Steven M:</t>
        </r>
        <r>
          <rPr>
            <sz val="9"/>
            <color indexed="81"/>
            <rFont val="Tahoma"/>
            <family val="2"/>
          </rPr>
          <t xml:space="preserve">
estimate</t>
        </r>
      </text>
    </comment>
    <comment ref="E24" authorId="0" shapeId="0" xr:uid="{91F946F9-9C25-47D3-9DD0-7FC940D2FCB5}">
      <text>
        <r>
          <rPr>
            <b/>
            <sz val="9"/>
            <color indexed="81"/>
            <rFont val="Tahoma"/>
            <family val="2"/>
          </rPr>
          <t>Steven M:</t>
        </r>
        <r>
          <rPr>
            <sz val="9"/>
            <color indexed="81"/>
            <rFont val="Tahoma"/>
            <family val="2"/>
          </rPr>
          <t xml:space="preserve">
noted as 'materially lower' from 2029 onward, but keeping 15m as a placeholder until further guidance</t>
        </r>
      </text>
    </comment>
  </commentList>
</comments>
</file>

<file path=xl/sharedStrings.xml><?xml version="1.0" encoding="utf-8"?>
<sst xmlns="http://schemas.openxmlformats.org/spreadsheetml/2006/main" count="164" uniqueCount="122">
  <si>
    <t>Year</t>
  </si>
  <si>
    <t>Revenue</t>
  </si>
  <si>
    <t>Operating Margin</t>
  </si>
  <si>
    <t>Net Income</t>
  </si>
  <si>
    <t>Capex</t>
  </si>
  <si>
    <t>Net Debt</t>
  </si>
  <si>
    <t>Shares Outstanding</t>
  </si>
  <si>
    <t>TTM</t>
  </si>
  <si>
    <t>Op Margin</t>
  </si>
  <si>
    <t>Net Margin</t>
  </si>
  <si>
    <t>EPS</t>
  </si>
  <si>
    <t>Market Cap</t>
  </si>
  <si>
    <t>Enterprise Value</t>
  </si>
  <si>
    <t>FCF Yield</t>
  </si>
  <si>
    <t>EV/EBIT</t>
  </si>
  <si>
    <t>Share Price</t>
  </si>
  <si>
    <t>Business Performance</t>
  </si>
  <si>
    <t>Cash generation</t>
  </si>
  <si>
    <t>B/S</t>
  </si>
  <si>
    <t>Shares Outs.</t>
  </si>
  <si>
    <t>FCF/EBIT</t>
  </si>
  <si>
    <t>Legacy Obligations</t>
  </si>
  <si>
    <t>Op Profit (adj)</t>
  </si>
  <si>
    <t>Rev CAGR ('16 - '24)</t>
  </si>
  <si>
    <t>Op Margin Avg</t>
  </si>
  <si>
    <t>Core FCF</t>
  </si>
  <si>
    <t>Equity FCF</t>
  </si>
  <si>
    <t>Statutory OCF</t>
  </si>
  <si>
    <t>Adj Operating CF</t>
  </si>
  <si>
    <t>FCFF</t>
  </si>
  <si>
    <t>EV</t>
  </si>
  <si>
    <t>EV/FCFF</t>
  </si>
  <si>
    <t>FCFE</t>
  </si>
  <si>
    <t>Mcap</t>
  </si>
  <si>
    <t>Mcap/FCFE</t>
  </si>
  <si>
    <t>Pension payments to schemes £59.1m</t>
  </si>
  <si>
    <t>Pension escrow payments £4.5m</t>
  </si>
  <si>
    <t>Restructuring £23.2m</t>
  </si>
  <si>
    <t>Historical legal issues £4.4m</t>
  </si>
  <si>
    <t>Capex £13.6m</t>
  </si>
  <si>
    <t>Pensions ≈ £63.6m</t>
  </si>
  <si>
    <t>Restructuring ≈ £23.2m</t>
  </si>
  <si>
    <t>Legal issues ≈ £4.4m</t>
  </si>
  <si>
    <t>Structural Obligations</t>
  </si>
  <si>
    <t>Norm. FCFE</t>
  </si>
  <si>
    <t>Norm. FCF Yield</t>
  </si>
  <si>
    <t>2026 Pension contributions expected</t>
  </si>
  <si>
    <t>Core FCF (OCF - Capex)</t>
  </si>
  <si>
    <t>NORMALIZED EQUITY FCF</t>
  </si>
  <si>
    <t>NORMALIZED BUSINESS CASH FLOW</t>
  </si>
  <si>
    <t>Legal liabilities</t>
  </si>
  <si>
    <t>Restructuring costs</t>
  </si>
  <si>
    <t>Pension deficit payments</t>
  </si>
  <si>
    <t>NORMALIZED FCF YIELD</t>
  </si>
  <si>
    <t>CURRENT LEGACY DRAINS</t>
  </si>
  <si>
    <t>STRUCTURAL OBLIGATIONS EST.</t>
  </si>
  <si>
    <t>Interest, Leases, Taxes</t>
  </si>
  <si>
    <t>-</t>
  </si>
  <si>
    <t>Structural Obligations Est.</t>
  </si>
  <si>
    <t>PENSION DEFICIT PAYMENT SCHEDULE</t>
  </si>
  <si>
    <t>Pension Payments</t>
  </si>
  <si>
    <t>FY25 CASH USE BREAKDOWN (MGMT DISCLOSURE)</t>
  </si>
  <si>
    <t>Starting Revenue</t>
  </si>
  <si>
    <t>Revenue Decline Rate</t>
  </si>
  <si>
    <t>Capex % of Revenue</t>
  </si>
  <si>
    <t>Op Profit</t>
  </si>
  <si>
    <t>Revenue CAGR Avg</t>
  </si>
  <si>
    <t>Conservative Rev Decline Rate</t>
  </si>
  <si>
    <t>Permanent Structural Obligations</t>
  </si>
  <si>
    <t>Pension Deficit Payments</t>
  </si>
  <si>
    <t>Pension Plateau</t>
  </si>
  <si>
    <t>Cash Harvest Sensitivity (Preliminary)</t>
  </si>
  <si>
    <t>FCF Normalization</t>
  </si>
  <si>
    <t>Historical Financials</t>
  </si>
  <si>
    <r>
      <rPr>
        <b/>
        <sz val="11"/>
        <color theme="1"/>
        <rFont val="Calibri"/>
        <family val="2"/>
        <scheme val="minor"/>
      </rPr>
      <t>Cash Harvest Model - Purpose and Limitations</t>
    </r>
    <r>
      <rPr>
        <sz val="11"/>
        <color theme="1"/>
        <rFont val="Calibri"/>
        <family val="2"/>
        <scheme val="minor"/>
      </rPr>
      <t xml:space="preserve">
This sheet models a simple "cash harvest" scenario for Reach plc. The objective is not to produce a full valuation, but to understand how much cash the business could return to equity holders over time if current trends continue.
The model begins with current revenue (£518m) and assumes a conservative annual decline rate of 4%, slightly worse than the historical five-year revenue CAGR decline of ~3.4%. Operating margins and capex intensity are held broadly consistent with recent levels to estimate Core FCF.
Legacy pension deficit payments are modeled using the **disclosed recovery schedule**, which includes contributions of approximately £63.6m in 2025, £59.1m in 2026, £58.2m in 2027, and a sharp reduction to roughly £15m annually from 2028 onward.
In addition, a permanent structural obligation of £25m per year is assumed to capture ongoing commitments such as interest, leases, taxes, and residual pension servicing.
The purpose of this exercise is to estimate how much **Equity Free Cash Flow (FCFE)** could realistically accrue to shareholders over time and compare the cumulative cash generation with the current market capitalization (~£195m).
This model should be interpreted only as a **high-level sanity check**, not a full valuation. Several important factors are intentionally simplified or excluded:
• Revenue decline may not follow a constant path. Print revenues could decline more slowly, while digital, video, and other formats could partially offset declines.  
• Operating margins may change as the company adjusts cost structures or shifts toward digital advertising.  
• Pension obligations may decline faster or slower than modeled depending on funding decisions and actuarial outcomes.  
• Capital allocation decisions (buybacks, dividends, acquisitions) are not modeled.  
• The model assumes the business effectively winds down by 2035, which is unlikely in practice and therefore understates potential terminal value.
The primary goal of this exercise is to understand the **order of magnitude of potential shareholder cash returns** if the business continues generating strong operating cash flow while legacy obligations gradually decline.
The next step after this exercise is to move toward a more complete valuation framework incorporating:
• reverse DCF to understand what decline the market currently implies  
• multiple revenue decline scenarios  
• margin sensitivity analysis  
• terminal value assumptions  
• discounted cash flow analysis</t>
    </r>
  </si>
  <si>
    <r>
      <rPr>
        <b/>
        <sz val="11"/>
        <color theme="1"/>
        <rFont val="Calibri"/>
        <family val="2"/>
        <scheme val="minor"/>
      </rPr>
      <t>FCF Normalization - Purpose and Interpretation</t>
    </r>
    <r>
      <rPr>
        <sz val="11"/>
        <color theme="1"/>
        <rFont val="Calibri"/>
        <family val="2"/>
        <scheme val="minor"/>
      </rPr>
      <t xml:space="preserve">
This table reconstructs the underlying cash generation of the business by separating **core operating cash flow** from **temporary legacy cash drains**.
Based on recent financials, the business currently generates approximately **£89.9m of Core Free Cash Flow (OCF – Capex)**. However, only about **£8.4m reaches equity holders** due to large cash outflows related to legacy obligations.
These legacy drains currently include:
• Pension deficit payments  
• Restructuring costs  
• Historical legal liabilities  
Together these items absorb roughly **£81.5m of annual cash flow**, significantly depressing the cash available to shareholders.
The purpose of this normalization is to estimate the **steady-state cash earning power of the business once these temporary burdens decline**.
Pension deficit contributions are modeled using the **disclosed recovery schedule in the annual report**, which includes elevated payments through 2027 followed by a sharp step-down from 2028 onward.
Long-term structural obligations are estimated at approximately **£25m per year**, reflecting ongoing commitments such as interest, leases, taxes, and residual pension servicing.
After adjusting for these structural obligations, the business appears capable of generating approximately:
**Normalized Equity FCF ≈ £64.9m**
At the current market capitalization (~£195m), this implies a **normalized equity free cash flow yield of ~33%**.
This normalization does not represent a forecast. Instead, it isolates the **underlying economic earning power of the business** before moving on to forward modeling of how quickly legacy obligations decline and how revenue trends evolve over time.</t>
    </r>
  </si>
  <si>
    <t>Reverse DCF</t>
  </si>
  <si>
    <t>Revenue Start</t>
  </si>
  <si>
    <t>Tax</t>
  </si>
  <si>
    <t>Discount Rate</t>
  </si>
  <si>
    <t>Terminal Growth</t>
  </si>
  <si>
    <t>Capex % Revenue</t>
  </si>
  <si>
    <t>EBIT</t>
  </si>
  <si>
    <t>Tax on EBIT</t>
  </si>
  <si>
    <t>NOPAT</t>
  </si>
  <si>
    <t>Discount Factor</t>
  </si>
  <si>
    <t>PV of FCFF</t>
  </si>
  <si>
    <t>Terminal FCFF</t>
  </si>
  <si>
    <t>PV of Terminal Value</t>
  </si>
  <si>
    <t>Terminal Value</t>
  </si>
  <si>
    <t>Implied EV</t>
  </si>
  <si>
    <t>Actual EV</t>
  </si>
  <si>
    <r>
      <rPr>
        <b/>
        <sz val="11"/>
        <color theme="1"/>
        <rFont val="Calibri"/>
        <family val="2"/>
        <scheme val="minor"/>
      </rPr>
      <t>Reverse DCF - Purpose and Interpretation</t>
    </r>
    <r>
      <rPr>
        <sz val="11"/>
        <color theme="1"/>
        <rFont val="Calibri"/>
        <family val="2"/>
        <scheme val="minor"/>
      </rPr>
      <t xml:space="preserve">
This sheet estimates the **revenue decline rate currently implied by the market valuation of Reach plc**.
Rather than forecasting an intrinsic value directly, a reverse DCF starts from the current **Enterprise Value (~£209m)** and works backward to determine what operating assumptions must be true for the market price to be reasonable.
The model begins with current revenue (£518m) and assumes operating characteristics broadly consistent with recent performance:
• Operating margin ≈ 19.2%  
• Capex ≈ 2.6% of revenue  
• Tax rate ≈ 25%  
These inputs are used to estimate **Free Cash Flow to the Firm (FCFF)** each year. Revenue is then allowed to decline at a constant rate, which becomes the key variable solved by the model.
Cash flows are forecast over a 10-year period and discounted at **10%**, followed by a terminal value calculated using a **-2% terminal growth assumption**, reflecting the structural decline typical of legacy media businesses.
Using Excel’s Goal Seek function, the model solves for the revenue decline rate that produces an enterprise value equal to the current market EV (~£209m).
The result implies that the market valuation is broadly consistent with **long-term revenue decline of approximately −2.4% per year**, assuming margins and capital intensity remain near current levels.
This result does not represent a valuation of the business. Instead, it reveals the **market’s embedded expectations** for the rate at which Reach’s underlying business will deteriorate. Subsequent analysis can then compare these implied expectations with independent assumptions about the company’s future economics.</t>
    </r>
  </si>
  <si>
    <t>Bear</t>
  </si>
  <si>
    <t>Base</t>
  </si>
  <si>
    <t>Less-bad</t>
  </si>
  <si>
    <t>Structural Inputs</t>
  </si>
  <si>
    <t>Current Operating Structure</t>
  </si>
  <si>
    <t>Tax Rate</t>
  </si>
  <si>
    <t>Valuation Assumptions</t>
  </si>
  <si>
    <t>Scenario Assumptions</t>
  </si>
  <si>
    <t>Revenue Decline</t>
  </si>
  <si>
    <t>DCF Scenarios</t>
  </si>
  <si>
    <t>Equity Value</t>
  </si>
  <si>
    <t>Price per Share</t>
  </si>
  <si>
    <t>Upside / Downside</t>
  </si>
  <si>
    <t>DCF Model</t>
  </si>
  <si>
    <t>Difference</t>
  </si>
  <si>
    <t>explicit period</t>
  </si>
  <si>
    <t>terminal period</t>
  </si>
  <si>
    <t>pension</t>
  </si>
  <si>
    <t>Reverse DCF Decline</t>
  </si>
  <si>
    <t>Active Revenue Decline</t>
  </si>
  <si>
    <t>Active Operating Margin</t>
  </si>
  <si>
    <t>Active Capex %</t>
  </si>
  <si>
    <t>Active Discount Rate</t>
  </si>
  <si>
    <t>Active Terminal Growth</t>
  </si>
  <si>
    <t>PV Pensions</t>
  </si>
  <si>
    <t>pv pension</t>
  </si>
  <si>
    <t>Current Price</t>
  </si>
  <si>
    <t>Shares Outs</t>
  </si>
  <si>
    <t>Implied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</si>
</sst>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0.0\x"/>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sz val="12"/>
      <color rgb="FF232A31"/>
      <name val="Calibri"/>
      <family val="2"/>
      <scheme val="minor"/>
    </font>
    <font>
      <sz val="9"/>
      <color indexed="81"/>
      <name val="Tahoma"/>
      <family val="2"/>
    </font>
    <font>
      <b/>
      <sz val="9"/>
      <color indexed="81"/>
      <name val="Tahoma"/>
      <family val="2"/>
    </font>
    <font>
      <u/>
      <sz val="12"/>
      <color theme="5" tint="-0.249977111117893"/>
      <name val="Calibri"/>
      <family val="2"/>
      <scheme val="minor"/>
    </font>
    <font>
      <sz val="11"/>
      <color theme="1" tint="0.499984740745262"/>
      <name val="Calibri"/>
      <family val="2"/>
      <scheme val="minor"/>
    </font>
    <font>
      <b/>
      <sz val="11"/>
      <color theme="4" tint="-0.249977111117893"/>
      <name val="Calibri"/>
      <family val="2"/>
      <scheme val="minor"/>
    </font>
    <font>
      <sz val="11"/>
      <color theme="4" tint="-0.249977111117893"/>
      <name val="Calibri"/>
      <family val="2"/>
      <scheme val="minor"/>
    </font>
    <font>
      <sz val="12"/>
      <color theme="4" tint="-0.249977111117893"/>
      <name val="Calibri"/>
      <family val="2"/>
      <scheme val="minor"/>
    </font>
    <font>
      <sz val="11"/>
      <name val="Calibri"/>
      <family val="2"/>
      <scheme val="minor"/>
    </font>
    <font>
      <b/>
      <sz val="14"/>
      <color theme="0"/>
      <name val="Calibri"/>
      <family val="2"/>
      <scheme val="minor"/>
    </font>
    <font>
      <sz val="11"/>
      <color theme="2" tint="-0.499984740745262"/>
      <name val="Calibri"/>
      <family val="2"/>
      <scheme val="minor"/>
    </font>
    <font>
      <sz val="12"/>
      <name val="Calibri"/>
      <family val="2"/>
      <scheme val="minor"/>
    </font>
    <font>
      <sz val="11"/>
      <color theme="5"/>
      <name val="Calibri"/>
      <family val="2"/>
      <scheme val="minor"/>
    </font>
  </fonts>
  <fills count="4">
    <fill>
      <patternFill patternType="none"/>
    </fill>
    <fill>
      <patternFill patternType="gray125"/>
    </fill>
    <fill>
      <patternFill patternType="solid">
        <fgColor theme="2"/>
        <bgColor indexed="64"/>
      </patternFill>
    </fill>
    <fill>
      <patternFill patternType="solid">
        <fgColor theme="4" tint="0.39997558519241921"/>
        <bgColor indexed="64"/>
      </patternFill>
    </fill>
  </fills>
  <borders count="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3" fontId="0" fillId="0" borderId="0" xfId="0" applyNumberFormat="1"/>
    <xf numFmtId="164" fontId="0" fillId="0" borderId="0" xfId="0" applyNumberFormat="1"/>
    <xf numFmtId="10" fontId="0" fillId="0" borderId="0" xfId="0" applyNumberFormat="1"/>
    <xf numFmtId="0" fontId="3" fillId="0" borderId="0" xfId="0" applyFont="1"/>
    <xf numFmtId="3" fontId="3" fillId="0" borderId="0" xfId="0" applyNumberFormat="1" applyFont="1"/>
    <xf numFmtId="164" fontId="3" fillId="0" borderId="0" xfId="0" applyNumberFormat="1" applyFont="1"/>
    <xf numFmtId="0" fontId="4" fillId="0" borderId="0" xfId="0" applyFont="1"/>
    <xf numFmtId="165" fontId="0" fillId="0" borderId="0" xfId="0" applyNumberFormat="1"/>
    <xf numFmtId="3" fontId="5" fillId="0" borderId="0" xfId="0" applyNumberFormat="1" applyFont="1"/>
    <xf numFmtId="165" fontId="3" fillId="0" borderId="0" xfId="0" applyNumberFormat="1" applyFont="1"/>
    <xf numFmtId="0" fontId="3" fillId="2" borderId="0" xfId="0" applyFont="1" applyFill="1" applyAlignment="1">
      <alignment horizontal="center"/>
    </xf>
    <xf numFmtId="0" fontId="5" fillId="0" borderId="0" xfId="0" applyFont="1"/>
    <xf numFmtId="3" fontId="8" fillId="0" borderId="0" xfId="1" applyNumberFormat="1" applyFont="1"/>
    <xf numFmtId="0" fontId="1" fillId="0" borderId="0" xfId="0" applyFont="1"/>
    <xf numFmtId="0" fontId="9" fillId="0" borderId="0" xfId="0" applyFont="1"/>
    <xf numFmtId="3" fontId="9" fillId="0" borderId="0" xfId="0" applyNumberFormat="1" applyFont="1"/>
    <xf numFmtId="3" fontId="10" fillId="0" borderId="0" xfId="0" applyNumberFormat="1" applyFont="1"/>
    <xf numFmtId="164" fontId="10" fillId="0" borderId="0" xfId="0" applyNumberFormat="1" applyFont="1"/>
    <xf numFmtId="3" fontId="11" fillId="0" borderId="0" xfId="0" applyNumberFormat="1" applyFont="1"/>
    <xf numFmtId="164" fontId="12" fillId="0" borderId="0" xfId="0" applyNumberFormat="1" applyFont="1"/>
    <xf numFmtId="3" fontId="0" fillId="0" borderId="0" xfId="0" applyNumberFormat="1" applyAlignment="1">
      <alignment horizontal="right"/>
    </xf>
    <xf numFmtId="0" fontId="9" fillId="0" borderId="0" xfId="0" applyFont="1" applyAlignment="1">
      <alignment horizontal="right"/>
    </xf>
    <xf numFmtId="0" fontId="13"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3" borderId="0" xfId="0" applyFill="1"/>
    <xf numFmtId="0" fontId="14" fillId="3" borderId="0" xfId="0" applyFont="1" applyFill="1"/>
    <xf numFmtId="0" fontId="3" fillId="0" borderId="2" xfId="0" applyFont="1" applyBorder="1"/>
    <xf numFmtId="3" fontId="3" fillId="0" borderId="3" xfId="0" applyNumberFormat="1" applyFont="1" applyBorder="1"/>
    <xf numFmtId="164" fontId="3" fillId="0" borderId="3" xfId="0" applyNumberFormat="1" applyFont="1" applyBorder="1"/>
    <xf numFmtId="0" fontId="3" fillId="0" borderId="4" xfId="0" applyFont="1" applyBorder="1"/>
    <xf numFmtId="3" fontId="3" fillId="0" borderId="5" xfId="0" applyNumberFormat="1" applyFont="1" applyBorder="1"/>
    <xf numFmtId="0" fontId="3" fillId="0" borderId="1" xfId="0" applyFont="1" applyBorder="1"/>
    <xf numFmtId="3" fontId="3" fillId="0" borderId="1" xfId="0" applyNumberFormat="1" applyFont="1" applyBorder="1"/>
    <xf numFmtId="0" fontId="15" fillId="0" borderId="0" xfId="0" applyFont="1" applyAlignment="1">
      <alignment horizontal="right"/>
    </xf>
    <xf numFmtId="3" fontId="15" fillId="0" borderId="0" xfId="0" applyNumberFormat="1" applyFont="1" applyAlignment="1">
      <alignment horizontal="right"/>
    </xf>
    <xf numFmtId="166" fontId="10" fillId="0" borderId="0" xfId="0" applyNumberFormat="1" applyFont="1"/>
    <xf numFmtId="3" fontId="16" fillId="0" borderId="0" xfId="0" applyNumberFormat="1" applyFont="1"/>
    <xf numFmtId="164" fontId="16" fillId="0" borderId="0" xfId="0" applyNumberFormat="1" applyFont="1"/>
    <xf numFmtId="166" fontId="16" fillId="0" borderId="0" xfId="0" applyNumberFormat="1" applyFont="1"/>
    <xf numFmtId="165" fontId="16" fillId="0" borderId="0" xfId="0" applyNumberFormat="1" applyFont="1"/>
    <xf numFmtId="2" fontId="0" fillId="0" borderId="0" xfId="0" applyNumberFormat="1"/>
    <xf numFmtId="10" fontId="17" fillId="0" borderId="0" xfId="0" applyNumberFormat="1" applyFont="1"/>
    <xf numFmtId="3" fontId="17" fillId="0" borderId="0" xfId="0" applyNumberFormat="1" applyFont="1"/>
    <xf numFmtId="165" fontId="11" fillId="0" borderId="0" xfId="0" applyNumberFormat="1" applyFont="1"/>
    <xf numFmtId="0" fontId="3" fillId="2" borderId="0" xfId="0" applyFont="1" applyFill="1" applyAlignment="1">
      <alignment horizontal="center"/>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6A6666"/>
      <color rgb="FFE3D803"/>
      <color rgb="FF4F4B4B"/>
      <color rgb="FF474343"/>
      <color rgb="FFFFD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0"/>
              <a:t>Revenue</a:t>
            </a:r>
            <a:r>
              <a:rPr lang="en-GB" b="0" baseline="0"/>
              <a:t> vs Op  Profit (2016-2024)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'Historical Financials'!$C$3</c:f>
              <c:strCache>
                <c:ptCount val="1"/>
                <c:pt idx="0">
                  <c:v>Op Profit (adj)</c:v>
                </c:pt>
              </c:strCache>
            </c:strRef>
          </c:tx>
          <c:spPr>
            <a:solidFill>
              <a:srgbClr val="E3D803"/>
            </a:solidFill>
            <a:ln>
              <a:noFill/>
            </a:ln>
            <a:effectLst/>
          </c:spPr>
          <c:invertIfNegative val="0"/>
          <c:cat>
            <c:numRef>
              <c:f>'Historical Financials'!$A$5:$A$13</c:f>
              <c:numCache>
                <c:formatCode>General</c:formatCode>
                <c:ptCount val="9"/>
                <c:pt idx="0">
                  <c:v>2024</c:v>
                </c:pt>
                <c:pt idx="1">
                  <c:v>2023</c:v>
                </c:pt>
                <c:pt idx="2">
                  <c:v>2022</c:v>
                </c:pt>
                <c:pt idx="3">
                  <c:v>2021</c:v>
                </c:pt>
                <c:pt idx="4">
                  <c:v>2020</c:v>
                </c:pt>
                <c:pt idx="5">
                  <c:v>2019</c:v>
                </c:pt>
                <c:pt idx="6">
                  <c:v>2018</c:v>
                </c:pt>
                <c:pt idx="7">
                  <c:v>2017</c:v>
                </c:pt>
                <c:pt idx="8">
                  <c:v>2016</c:v>
                </c:pt>
              </c:numCache>
            </c:numRef>
          </c:cat>
          <c:val>
            <c:numRef>
              <c:f>'Historical Financials'!$C$4:$C$13</c:f>
              <c:numCache>
                <c:formatCode>#,##0</c:formatCode>
                <c:ptCount val="10"/>
                <c:pt idx="0">
                  <c:v>102000</c:v>
                </c:pt>
                <c:pt idx="1">
                  <c:v>99500</c:v>
                </c:pt>
                <c:pt idx="2">
                  <c:v>93600</c:v>
                </c:pt>
                <c:pt idx="3">
                  <c:v>92300</c:v>
                </c:pt>
                <c:pt idx="4">
                  <c:v>113900</c:v>
                </c:pt>
                <c:pt idx="5">
                  <c:v>134000</c:v>
                </c:pt>
                <c:pt idx="6">
                  <c:v>153400</c:v>
                </c:pt>
                <c:pt idx="7">
                  <c:v>145600</c:v>
                </c:pt>
                <c:pt idx="8">
                  <c:v>124700</c:v>
                </c:pt>
                <c:pt idx="9">
                  <c:v>137500</c:v>
                </c:pt>
              </c:numCache>
            </c:numRef>
          </c:val>
          <c:extLst>
            <c:ext xmlns:c16="http://schemas.microsoft.com/office/drawing/2014/chart" uri="{C3380CC4-5D6E-409C-BE32-E72D297353CC}">
              <c16:uniqueId val="{00000001-FAB7-4E1F-BE7A-2A9C55726E16}"/>
            </c:ext>
          </c:extLst>
        </c:ser>
        <c:ser>
          <c:idx val="0"/>
          <c:order val="1"/>
          <c:tx>
            <c:strRef>
              <c:f>'Historical Financials'!$B$3</c:f>
              <c:strCache>
                <c:ptCount val="1"/>
                <c:pt idx="0">
                  <c:v>Revenue</c:v>
                </c:pt>
              </c:strCache>
            </c:strRef>
          </c:tx>
          <c:spPr>
            <a:solidFill>
              <a:srgbClr val="6A6666"/>
            </a:solidFill>
            <a:ln>
              <a:noFill/>
            </a:ln>
            <a:effectLst/>
          </c:spPr>
          <c:invertIfNegative val="0"/>
          <c:cat>
            <c:numRef>
              <c:f>'Historical Financials'!$A$5:$A$13</c:f>
              <c:numCache>
                <c:formatCode>General</c:formatCode>
                <c:ptCount val="9"/>
                <c:pt idx="0">
                  <c:v>2024</c:v>
                </c:pt>
                <c:pt idx="1">
                  <c:v>2023</c:v>
                </c:pt>
                <c:pt idx="2">
                  <c:v>2022</c:v>
                </c:pt>
                <c:pt idx="3">
                  <c:v>2021</c:v>
                </c:pt>
                <c:pt idx="4">
                  <c:v>2020</c:v>
                </c:pt>
                <c:pt idx="5">
                  <c:v>2019</c:v>
                </c:pt>
                <c:pt idx="6">
                  <c:v>2018</c:v>
                </c:pt>
                <c:pt idx="7">
                  <c:v>2017</c:v>
                </c:pt>
                <c:pt idx="8">
                  <c:v>2016</c:v>
                </c:pt>
              </c:numCache>
            </c:numRef>
          </c:cat>
          <c:val>
            <c:numRef>
              <c:f>'Historical Financials'!$B$4:$B$13</c:f>
              <c:numCache>
                <c:formatCode>#,##0</c:formatCode>
                <c:ptCount val="10"/>
                <c:pt idx="0">
                  <c:v>518400</c:v>
                </c:pt>
                <c:pt idx="1">
                  <c:v>538600</c:v>
                </c:pt>
                <c:pt idx="2">
                  <c:v>586600</c:v>
                </c:pt>
                <c:pt idx="3">
                  <c:v>601400</c:v>
                </c:pt>
                <c:pt idx="4">
                  <c:v>615800</c:v>
                </c:pt>
                <c:pt idx="5">
                  <c:v>600000</c:v>
                </c:pt>
                <c:pt idx="6">
                  <c:v>702500</c:v>
                </c:pt>
                <c:pt idx="7">
                  <c:v>723900</c:v>
                </c:pt>
                <c:pt idx="8">
                  <c:v>623200</c:v>
                </c:pt>
                <c:pt idx="9">
                  <c:v>713000</c:v>
                </c:pt>
              </c:numCache>
            </c:numRef>
          </c:val>
          <c:extLst>
            <c:ext xmlns:c16="http://schemas.microsoft.com/office/drawing/2014/chart" uri="{C3380CC4-5D6E-409C-BE32-E72D297353CC}">
              <c16:uniqueId val="{00000000-FAB7-4E1F-BE7A-2A9C55726E16}"/>
            </c:ext>
          </c:extLst>
        </c:ser>
        <c:dLbls>
          <c:showLegendKey val="0"/>
          <c:showVal val="0"/>
          <c:showCatName val="0"/>
          <c:showSerName val="0"/>
          <c:showPercent val="0"/>
          <c:showBubbleSize val="0"/>
        </c:dLbls>
        <c:gapWidth val="114"/>
        <c:overlap val="-17"/>
        <c:axId val="317596160"/>
        <c:axId val="317594720"/>
      </c:barChart>
      <c:catAx>
        <c:axId val="31759616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594720"/>
        <c:crosses val="autoZero"/>
        <c:auto val="1"/>
        <c:lblAlgn val="ctr"/>
        <c:lblOffset val="100"/>
        <c:noMultiLvlLbl val="0"/>
      </c:catAx>
      <c:valAx>
        <c:axId val="3175947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596160"/>
        <c:crosses val="max"/>
        <c:crossBetween val="between"/>
      </c:valAx>
      <c:spPr>
        <a:noFill/>
        <a:ln>
          <a:noFill/>
        </a:ln>
        <a:effectLst/>
      </c:spPr>
    </c:plotArea>
    <c:legend>
      <c:legendPos val="b"/>
      <c:layout>
        <c:manualLayout>
          <c:xMode val="edge"/>
          <c:yMode val="edge"/>
          <c:x val="0.26969685039370078"/>
          <c:y val="0.89409667541557303"/>
          <c:w val="0.35654629378224273"/>
          <c:h val="7.24642385462926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342899</xdr:colOff>
      <xdr:row>14</xdr:row>
      <xdr:rowOff>14286</xdr:rowOff>
    </xdr:from>
    <xdr:to>
      <xdr:col>8</xdr:col>
      <xdr:colOff>219075</xdr:colOff>
      <xdr:row>30</xdr:row>
      <xdr:rowOff>28575</xdr:rowOff>
    </xdr:to>
    <xdr:graphicFrame macro="">
      <xdr:nvGraphicFramePr>
        <xdr:cNvPr id="2" name="Chart 1">
          <a:extLst>
            <a:ext uri="{FF2B5EF4-FFF2-40B4-BE49-F238E27FC236}">
              <a16:creationId xmlns:a16="http://schemas.microsoft.com/office/drawing/2014/main" id="{A9B87106-3671-2C65-8DB9-DFD88BD691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zoomScaleNormal="100" workbookViewId="0">
      <selection activeCell="I27" sqref="I27"/>
    </sheetView>
  </sheetViews>
  <sheetFormatPr defaultRowHeight="15" x14ac:dyDescent="0.25"/>
  <cols>
    <col min="1" max="1" width="20.28515625" bestFit="1" customWidth="1"/>
    <col min="2" max="2" width="9.42578125" bestFit="1" customWidth="1"/>
    <col min="3" max="3" width="15.140625" bestFit="1" customWidth="1"/>
    <col min="4" max="4" width="11.5703125" bestFit="1" customWidth="1"/>
    <col min="5" max="5" width="12.28515625" bestFit="1" customWidth="1"/>
    <col min="6" max="6" width="12.28515625" customWidth="1"/>
    <col min="7" max="7" width="13.28515625" bestFit="1" customWidth="1"/>
    <col min="8" max="8" width="6.85546875" bestFit="1" customWidth="1"/>
    <col min="9" max="9" width="21.42578125" bestFit="1" customWidth="1"/>
    <col min="10" max="10" width="8" bestFit="1" customWidth="1"/>
    <col min="11" max="11" width="18" bestFit="1" customWidth="1"/>
    <col min="12" max="12" width="9.42578125" bestFit="1" customWidth="1"/>
    <col min="13" max="13" width="21" customWidth="1"/>
    <col min="14" max="14" width="11.28515625" bestFit="1" customWidth="1"/>
    <col min="15" max="15" width="9.85546875" bestFit="1" customWidth="1"/>
  </cols>
  <sheetData>
    <row r="1" spans="1:15" ht="18.75" x14ac:dyDescent="0.3">
      <c r="A1" s="27" t="s">
        <v>73</v>
      </c>
      <c r="B1" s="27"/>
      <c r="C1" s="27"/>
      <c r="D1" s="27"/>
      <c r="E1" s="27"/>
      <c r="F1" s="27"/>
      <c r="G1" s="27"/>
      <c r="H1" s="27"/>
      <c r="I1" s="27"/>
      <c r="J1" s="26"/>
    </row>
    <row r="2" spans="1:15" ht="15.75" x14ac:dyDescent="0.25">
      <c r="A2" s="4"/>
      <c r="B2" s="46" t="s">
        <v>16</v>
      </c>
      <c r="C2" s="46"/>
      <c r="D2" s="46"/>
      <c r="E2" s="46"/>
      <c r="F2" s="46"/>
      <c r="G2" s="46"/>
      <c r="H2" s="46"/>
      <c r="I2" s="11"/>
      <c r="J2" s="46" t="s">
        <v>17</v>
      </c>
      <c r="K2" s="46"/>
      <c r="L2" s="46"/>
      <c r="M2" s="46"/>
      <c r="N2" s="46"/>
      <c r="O2" s="11" t="s">
        <v>18</v>
      </c>
    </row>
    <row r="3" spans="1:15" ht="15.75" x14ac:dyDescent="0.25">
      <c r="A3" s="7" t="s">
        <v>0</v>
      </c>
      <c r="B3" s="7" t="s">
        <v>1</v>
      </c>
      <c r="C3" s="7" t="s">
        <v>22</v>
      </c>
      <c r="D3" s="7" t="s">
        <v>8</v>
      </c>
      <c r="E3" s="7" t="s">
        <v>3</v>
      </c>
      <c r="F3" s="7" t="s">
        <v>9</v>
      </c>
      <c r="G3" s="7" t="s">
        <v>19</v>
      </c>
      <c r="H3" s="7" t="s">
        <v>10</v>
      </c>
      <c r="I3" s="7" t="s">
        <v>27</v>
      </c>
      <c r="J3" s="7" t="s">
        <v>4</v>
      </c>
      <c r="K3" s="7" t="s">
        <v>28</v>
      </c>
      <c r="L3" s="7" t="s">
        <v>25</v>
      </c>
      <c r="M3" s="7" t="s">
        <v>21</v>
      </c>
      <c r="N3" s="7" t="s">
        <v>26</v>
      </c>
      <c r="O3" s="7" t="s">
        <v>5</v>
      </c>
    </row>
    <row r="4" spans="1:15" ht="15.75" x14ac:dyDescent="0.25">
      <c r="A4" s="7" t="s">
        <v>7</v>
      </c>
      <c r="B4" s="5">
        <v>518400</v>
      </c>
      <c r="C4" s="5">
        <v>102000</v>
      </c>
      <c r="D4" s="6">
        <f>C4/B4</f>
        <v>0.19675925925925927</v>
      </c>
      <c r="E4" s="9">
        <v>-132300</v>
      </c>
      <c r="F4" s="6">
        <f>E4/B4</f>
        <v>-0.25520833333333331</v>
      </c>
      <c r="G4" s="9">
        <v>319769</v>
      </c>
      <c r="H4" s="10">
        <f>E4/G4</f>
        <v>-0.41373616579468303</v>
      </c>
      <c r="I4" s="9">
        <v>22000</v>
      </c>
      <c r="J4" s="9">
        <v>-13600</v>
      </c>
      <c r="K4" s="5">
        <v>103500</v>
      </c>
      <c r="L4" s="9">
        <f>K4+J4</f>
        <v>89900</v>
      </c>
      <c r="M4" s="13">
        <f>L4-N4</f>
        <v>81500</v>
      </c>
      <c r="N4" s="9">
        <v>8400</v>
      </c>
      <c r="O4" s="9">
        <v>14200</v>
      </c>
    </row>
    <row r="5" spans="1:15" ht="15.75" x14ac:dyDescent="0.25">
      <c r="A5" s="7">
        <v>2024</v>
      </c>
      <c r="B5" s="5">
        <v>538600</v>
      </c>
      <c r="C5" s="5">
        <v>99500</v>
      </c>
      <c r="D5" s="6">
        <f t="shared" ref="D5:D13" si="0">C5/B5</f>
        <v>0.18473821017452655</v>
      </c>
      <c r="E5" s="9">
        <v>53600</v>
      </c>
      <c r="F5" s="6">
        <f t="shared" ref="F5:F13" si="1">E5/B5</f>
        <v>9.9517266988488673E-2</v>
      </c>
      <c r="G5" s="9">
        <v>319934</v>
      </c>
      <c r="H5" s="10">
        <f t="shared" ref="H5:H13" si="2">E5/G5</f>
        <v>0.16753455400176287</v>
      </c>
      <c r="I5" s="9">
        <v>26000</v>
      </c>
      <c r="J5" s="9">
        <v>-13600</v>
      </c>
      <c r="K5" s="9"/>
      <c r="L5" s="9"/>
      <c r="M5" s="9"/>
      <c r="N5" s="9">
        <v>14200</v>
      </c>
      <c r="O5" s="9">
        <v>10100</v>
      </c>
    </row>
    <row r="6" spans="1:15" ht="15.75" x14ac:dyDescent="0.25">
      <c r="A6" s="7">
        <v>2023</v>
      </c>
      <c r="B6" s="5">
        <v>586600</v>
      </c>
      <c r="C6" s="5">
        <v>93600</v>
      </c>
      <c r="D6" s="6">
        <f t="shared" si="0"/>
        <v>0.15956358677122401</v>
      </c>
      <c r="E6" s="9">
        <v>21500</v>
      </c>
      <c r="F6" s="6">
        <f t="shared" si="1"/>
        <v>3.6651892260484147E-2</v>
      </c>
      <c r="G6" s="9">
        <v>317099</v>
      </c>
      <c r="H6" s="10">
        <f t="shared" si="2"/>
        <v>6.7802169038691393E-2</v>
      </c>
      <c r="I6" s="9">
        <v>15900</v>
      </c>
      <c r="J6" s="9">
        <v>-16300</v>
      </c>
      <c r="K6" s="9"/>
      <c r="L6" s="9"/>
      <c r="M6" s="9"/>
      <c r="N6" s="12">
        <v>-400</v>
      </c>
      <c r="O6" s="4"/>
    </row>
    <row r="7" spans="1:15" ht="15.75" x14ac:dyDescent="0.25">
      <c r="A7" s="7">
        <v>2022</v>
      </c>
      <c r="B7" s="5">
        <v>601400</v>
      </c>
      <c r="C7" s="5">
        <v>92300</v>
      </c>
      <c r="D7" s="6">
        <f t="shared" si="0"/>
        <v>0.15347522447622214</v>
      </c>
      <c r="E7" s="9">
        <v>52300</v>
      </c>
      <c r="F7" s="6">
        <f t="shared" si="1"/>
        <v>8.6963751247090118E-2</v>
      </c>
      <c r="G7" s="9">
        <v>316981</v>
      </c>
      <c r="H7" s="10">
        <f t="shared" si="2"/>
        <v>0.16499411636659611</v>
      </c>
      <c r="I7" s="9">
        <v>20000</v>
      </c>
      <c r="J7" s="9">
        <v>-13700</v>
      </c>
      <c r="K7" s="9"/>
      <c r="L7" s="9"/>
      <c r="M7" s="9"/>
      <c r="N7" s="9">
        <v>6300</v>
      </c>
      <c r="O7" s="4"/>
    </row>
    <row r="8" spans="1:15" ht="15.75" x14ac:dyDescent="0.25">
      <c r="A8" s="7">
        <v>2021</v>
      </c>
      <c r="B8" s="5">
        <v>615800</v>
      </c>
      <c r="C8" s="5">
        <v>113900</v>
      </c>
      <c r="D8" s="6">
        <f t="shared" si="0"/>
        <v>0.1849626502111075</v>
      </c>
      <c r="E8" s="9">
        <v>2900</v>
      </c>
      <c r="F8" s="6">
        <f t="shared" si="1"/>
        <v>4.7093212081844756E-3</v>
      </c>
      <c r="G8" s="9">
        <v>319253</v>
      </c>
      <c r="H8" s="10">
        <f t="shared" si="2"/>
        <v>9.0837047733302433E-3</v>
      </c>
      <c r="I8" s="9">
        <v>84400</v>
      </c>
      <c r="J8" s="9">
        <v>-12500</v>
      </c>
      <c r="K8" s="9"/>
      <c r="L8" s="9"/>
      <c r="M8" s="9"/>
      <c r="N8" s="9">
        <v>71900</v>
      </c>
      <c r="O8" s="4"/>
    </row>
    <row r="9" spans="1:15" ht="15.75" x14ac:dyDescent="0.25">
      <c r="A9" s="7">
        <v>2020</v>
      </c>
      <c r="B9" s="5">
        <v>600000</v>
      </c>
      <c r="C9" s="5">
        <v>134000</v>
      </c>
      <c r="D9" s="6">
        <f t="shared" si="0"/>
        <v>0.22333333333333333</v>
      </c>
      <c r="E9" s="5">
        <v>106000</v>
      </c>
      <c r="F9" s="6">
        <f t="shared" si="1"/>
        <v>0.17666666666666667</v>
      </c>
      <c r="G9" s="5">
        <v>311000</v>
      </c>
      <c r="H9" s="10">
        <f t="shared" si="2"/>
        <v>0.34083601286173631</v>
      </c>
      <c r="I9" s="10"/>
      <c r="J9" s="4"/>
      <c r="K9" s="4"/>
      <c r="L9" s="4"/>
      <c r="M9" s="4"/>
      <c r="N9" s="4"/>
      <c r="O9" s="4"/>
    </row>
    <row r="10" spans="1:15" ht="15.75" x14ac:dyDescent="0.25">
      <c r="A10" s="7">
        <v>2019</v>
      </c>
      <c r="B10" s="5">
        <v>702500</v>
      </c>
      <c r="C10" s="5">
        <v>153400</v>
      </c>
      <c r="D10" s="6">
        <f t="shared" si="0"/>
        <v>0.2183629893238434</v>
      </c>
      <c r="E10" s="5">
        <v>106000</v>
      </c>
      <c r="F10" s="6">
        <f t="shared" si="1"/>
        <v>0.15088967971530248</v>
      </c>
      <c r="G10" s="5">
        <v>315000</v>
      </c>
      <c r="H10" s="10">
        <f t="shared" si="2"/>
        <v>0.33650793650793653</v>
      </c>
      <c r="I10" s="10"/>
      <c r="J10" s="4"/>
      <c r="K10" s="4"/>
      <c r="L10" s="4"/>
      <c r="M10" s="4"/>
      <c r="N10" s="4"/>
      <c r="O10" s="4"/>
    </row>
    <row r="11" spans="1:15" ht="15.75" x14ac:dyDescent="0.25">
      <c r="A11" s="7">
        <v>2018</v>
      </c>
      <c r="B11" s="5">
        <v>723900</v>
      </c>
      <c r="C11" s="5">
        <v>145600</v>
      </c>
      <c r="D11" s="6">
        <f t="shared" si="0"/>
        <v>0.20113275314269927</v>
      </c>
      <c r="E11" s="5">
        <v>-119600</v>
      </c>
      <c r="F11" s="6">
        <f t="shared" si="1"/>
        <v>-0.16521619008150298</v>
      </c>
      <c r="G11" s="5">
        <v>315000</v>
      </c>
      <c r="H11" s="10">
        <f t="shared" si="2"/>
        <v>-0.37968253968253968</v>
      </c>
      <c r="I11" s="10"/>
      <c r="J11" s="4"/>
      <c r="K11" s="4"/>
      <c r="L11" s="4"/>
      <c r="M11" s="4"/>
      <c r="N11" s="4"/>
      <c r="O11" s="4"/>
    </row>
    <row r="12" spans="1:15" ht="15.75" x14ac:dyDescent="0.25">
      <c r="A12" s="7">
        <v>2017</v>
      </c>
      <c r="B12" s="5">
        <v>623200</v>
      </c>
      <c r="C12" s="5">
        <v>124700</v>
      </c>
      <c r="D12" s="6">
        <f t="shared" si="0"/>
        <v>0.20009627727856225</v>
      </c>
      <c r="E12" s="5">
        <v>62800</v>
      </c>
      <c r="F12" s="6">
        <f t="shared" si="1"/>
        <v>0.10077021822849808</v>
      </c>
      <c r="G12" s="5">
        <v>315000</v>
      </c>
      <c r="H12" s="10">
        <f t="shared" si="2"/>
        <v>0.19936507936507936</v>
      </c>
      <c r="I12" s="10"/>
      <c r="J12" s="4"/>
      <c r="K12" s="4"/>
      <c r="L12" s="4"/>
      <c r="M12" s="4"/>
      <c r="N12" s="4"/>
      <c r="O12" s="4"/>
    </row>
    <row r="13" spans="1:15" ht="15.75" x14ac:dyDescent="0.25">
      <c r="A13" s="7">
        <v>2016</v>
      </c>
      <c r="B13" s="5">
        <v>713000</v>
      </c>
      <c r="C13" s="5">
        <v>137500</v>
      </c>
      <c r="D13" s="6">
        <f t="shared" si="0"/>
        <v>0.19284712482468444</v>
      </c>
      <c r="E13" s="5">
        <v>69500</v>
      </c>
      <c r="F13" s="6">
        <f t="shared" si="1"/>
        <v>9.7475455820476856E-2</v>
      </c>
      <c r="G13" s="5">
        <v>285000</v>
      </c>
      <c r="H13" s="10">
        <f t="shared" si="2"/>
        <v>0.24385964912280703</v>
      </c>
      <c r="I13" s="10"/>
      <c r="J13" s="4"/>
      <c r="K13" s="4"/>
      <c r="L13" s="4"/>
      <c r="M13" s="4"/>
      <c r="N13" s="4"/>
      <c r="O13" s="4"/>
    </row>
    <row r="15" spans="1:15" ht="15.75" x14ac:dyDescent="0.25">
      <c r="A15" s="7" t="s">
        <v>23</v>
      </c>
      <c r="B15" s="6">
        <f>(B5/B13)^(1/8)-1</f>
        <v>-3.4455926710389662E-2</v>
      </c>
    </row>
    <row r="16" spans="1:15" ht="15.75" x14ac:dyDescent="0.25">
      <c r="A16" s="7" t="s">
        <v>24</v>
      </c>
      <c r="B16" s="2">
        <f>AVERAGE(D4:D13)</f>
        <v>0.1915271408795462</v>
      </c>
    </row>
  </sheetData>
  <mergeCells count="2">
    <mergeCell ref="B2:H2"/>
    <mergeCell ref="J2:N2"/>
  </mergeCells>
  <hyperlinks>
    <hyperlink ref="M4" location="'FCF Breakdown'!A1" display="'FCF Breakdown'!A1" xr:uid="{C16C6884-0514-4CFF-AC74-8F926A0255D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E05EF-79DF-4631-ABB7-5B6BE1F35374}">
  <dimension ref="A1:J62"/>
  <sheetViews>
    <sheetView workbookViewId="0">
      <selection activeCell="F6" sqref="F6"/>
    </sheetView>
  </sheetViews>
  <sheetFormatPr defaultRowHeight="15" x14ac:dyDescent="0.25"/>
  <cols>
    <col min="1" max="1" width="42.42578125" bestFit="1" customWidth="1"/>
    <col min="2" max="2" width="17.28515625" bestFit="1" customWidth="1"/>
    <col min="3" max="3" width="11.7109375" bestFit="1" customWidth="1"/>
    <col min="5" max="5" width="45.85546875" bestFit="1" customWidth="1"/>
    <col min="6" max="6" width="17.5703125" bestFit="1" customWidth="1"/>
    <col min="7" max="7" width="16.28515625" bestFit="1" customWidth="1"/>
  </cols>
  <sheetData>
    <row r="1" spans="1:10" ht="18.75" x14ac:dyDescent="0.3">
      <c r="A1" s="27" t="s">
        <v>72</v>
      </c>
      <c r="B1" s="26"/>
      <c r="C1" s="26"/>
      <c r="D1" s="26"/>
      <c r="E1" s="26"/>
      <c r="F1" s="26"/>
      <c r="G1" s="26"/>
      <c r="H1" s="26"/>
      <c r="I1" s="26"/>
      <c r="J1" s="26"/>
    </row>
    <row r="2" spans="1:10" ht="15.75" x14ac:dyDescent="0.25">
      <c r="A2" t="s">
        <v>47</v>
      </c>
      <c r="B2" s="1">
        <v>89900</v>
      </c>
      <c r="E2" s="7" t="s">
        <v>58</v>
      </c>
      <c r="F2" s="7" t="s">
        <v>44</v>
      </c>
      <c r="G2" s="7" t="s">
        <v>45</v>
      </c>
    </row>
    <row r="3" spans="1:10" ht="15.75" x14ac:dyDescent="0.25">
      <c r="A3" t="s">
        <v>26</v>
      </c>
      <c r="B3" s="1">
        <f>'Historical Financials'!N4</f>
        <v>8400</v>
      </c>
      <c r="E3" s="1">
        <v>20000</v>
      </c>
      <c r="F3" s="19">
        <f>B17</f>
        <v>69900</v>
      </c>
      <c r="G3" s="20">
        <f>B18</f>
        <v>0.35835294832965747</v>
      </c>
    </row>
    <row r="4" spans="1:10" x14ac:dyDescent="0.25">
      <c r="B4" s="1"/>
      <c r="E4" s="1"/>
    </row>
    <row r="5" spans="1:10" x14ac:dyDescent="0.25">
      <c r="A5" t="s">
        <v>54</v>
      </c>
      <c r="B5" s="1">
        <f>B2-B3</f>
        <v>81500</v>
      </c>
      <c r="E5" t="s">
        <v>61</v>
      </c>
    </row>
    <row r="6" spans="1:10" x14ac:dyDescent="0.25">
      <c r="A6" s="15" t="s">
        <v>52</v>
      </c>
      <c r="B6" s="16">
        <v>63600</v>
      </c>
      <c r="E6" s="15" t="s">
        <v>35</v>
      </c>
    </row>
    <row r="7" spans="1:10" x14ac:dyDescent="0.25">
      <c r="A7" s="15" t="s">
        <v>51</v>
      </c>
      <c r="B7" s="16">
        <v>23200</v>
      </c>
      <c r="E7" s="15" t="s">
        <v>36</v>
      </c>
    </row>
    <row r="8" spans="1:10" x14ac:dyDescent="0.25">
      <c r="A8" s="15" t="s">
        <v>50</v>
      </c>
      <c r="B8" s="16">
        <v>4400</v>
      </c>
      <c r="E8" s="15" t="s">
        <v>37</v>
      </c>
    </row>
    <row r="9" spans="1:10" x14ac:dyDescent="0.25">
      <c r="B9" s="1"/>
      <c r="E9" s="15" t="s">
        <v>38</v>
      </c>
    </row>
    <row r="10" spans="1:10" x14ac:dyDescent="0.25">
      <c r="A10" t="s">
        <v>49</v>
      </c>
      <c r="B10" s="1">
        <f>B2</f>
        <v>89900</v>
      </c>
      <c r="E10" s="15" t="s">
        <v>39</v>
      </c>
    </row>
    <row r="11" spans="1:10" x14ac:dyDescent="0.25">
      <c r="E11" s="15"/>
    </row>
    <row r="12" spans="1:10" x14ac:dyDescent="0.25">
      <c r="A12" t="s">
        <v>55</v>
      </c>
      <c r="B12" s="1">
        <f>E3</f>
        <v>20000</v>
      </c>
      <c r="E12" s="15" t="s">
        <v>40</v>
      </c>
    </row>
    <row r="13" spans="1:10" x14ac:dyDescent="0.25">
      <c r="A13" s="15" t="s">
        <v>56</v>
      </c>
      <c r="B13" s="22" t="s">
        <v>57</v>
      </c>
      <c r="E13" s="15" t="s">
        <v>41</v>
      </c>
    </row>
    <row r="14" spans="1:10" x14ac:dyDescent="0.25">
      <c r="B14" s="1"/>
      <c r="E14" s="15" t="s">
        <v>42</v>
      </c>
    </row>
    <row r="15" spans="1:10" x14ac:dyDescent="0.25">
      <c r="B15" s="1"/>
      <c r="E15" s="15"/>
    </row>
    <row r="16" spans="1:10" x14ac:dyDescent="0.25">
      <c r="E16" t="s">
        <v>46</v>
      </c>
      <c r="F16" s="1">
        <v>57000</v>
      </c>
    </row>
    <row r="17" spans="1:7" x14ac:dyDescent="0.25">
      <c r="A17" s="14" t="s">
        <v>48</v>
      </c>
      <c r="B17" s="17">
        <f>B10-B12</f>
        <v>69900</v>
      </c>
    </row>
    <row r="18" spans="1:7" x14ac:dyDescent="0.25">
      <c r="A18" s="14" t="s">
        <v>53</v>
      </c>
      <c r="B18" s="18">
        <f>B17/Summary!A2</f>
        <v>0.35835294832965747</v>
      </c>
      <c r="E18" s="23" t="s">
        <v>59</v>
      </c>
      <c r="F18" s="24"/>
    </row>
    <row r="19" spans="1:7" x14ac:dyDescent="0.25">
      <c r="E19" s="23" t="s">
        <v>0</v>
      </c>
      <c r="F19" s="24" t="s">
        <v>60</v>
      </c>
    </row>
    <row r="20" spans="1:7" x14ac:dyDescent="0.25">
      <c r="E20" s="25">
        <v>2025</v>
      </c>
      <c r="F20" s="1">
        <v>63600</v>
      </c>
    </row>
    <row r="21" spans="1:7" x14ac:dyDescent="0.25">
      <c r="E21" s="25">
        <v>2026</v>
      </c>
      <c r="F21" s="1">
        <v>59100</v>
      </c>
    </row>
    <row r="22" spans="1:7" x14ac:dyDescent="0.25">
      <c r="E22" s="25">
        <v>2027</v>
      </c>
      <c r="F22" s="21">
        <v>58200</v>
      </c>
    </row>
    <row r="23" spans="1:7" x14ac:dyDescent="0.25">
      <c r="E23" s="25">
        <v>2028</v>
      </c>
      <c r="F23" s="21">
        <v>15300</v>
      </c>
    </row>
    <row r="24" spans="1:7" x14ac:dyDescent="0.25">
      <c r="E24" s="35">
        <v>2029</v>
      </c>
      <c r="F24" s="36">
        <v>15000</v>
      </c>
    </row>
    <row r="25" spans="1:7" x14ac:dyDescent="0.25">
      <c r="E25" s="35">
        <v>2030</v>
      </c>
      <c r="F25" s="36">
        <v>15000</v>
      </c>
    </row>
    <row r="26" spans="1:7" x14ac:dyDescent="0.25">
      <c r="E26" s="35">
        <v>2031</v>
      </c>
      <c r="F26" s="36">
        <v>15000</v>
      </c>
    </row>
    <row r="27" spans="1:7" x14ac:dyDescent="0.25">
      <c r="E27" s="35">
        <v>2032</v>
      </c>
      <c r="F27" s="36">
        <v>15000</v>
      </c>
    </row>
    <row r="28" spans="1:7" x14ac:dyDescent="0.25">
      <c r="E28" s="35">
        <v>2033</v>
      </c>
      <c r="F28" s="36">
        <v>15000</v>
      </c>
    </row>
    <row r="29" spans="1:7" x14ac:dyDescent="0.25">
      <c r="E29" s="35">
        <v>2034</v>
      </c>
      <c r="F29" s="36">
        <v>15000</v>
      </c>
    </row>
    <row r="30" spans="1:7" x14ac:dyDescent="0.25">
      <c r="E30" s="35">
        <v>2035</v>
      </c>
      <c r="F30" s="36">
        <v>15000</v>
      </c>
    </row>
    <row r="31" spans="1:7" x14ac:dyDescent="0.25">
      <c r="E31" s="25"/>
    </row>
    <row r="32" spans="1:7" ht="15" customHeight="1" x14ac:dyDescent="0.25">
      <c r="A32" s="47" t="s">
        <v>75</v>
      </c>
      <c r="B32" s="47"/>
      <c r="C32" s="47"/>
      <c r="D32" s="47"/>
      <c r="E32" s="47"/>
      <c r="F32" s="47"/>
      <c r="G32" s="47"/>
    </row>
    <row r="33" spans="1:7" x14ac:dyDescent="0.25">
      <c r="A33" s="47"/>
      <c r="B33" s="47"/>
      <c r="C33" s="47"/>
      <c r="D33" s="47"/>
      <c r="E33" s="47"/>
      <c r="F33" s="47"/>
      <c r="G33" s="47"/>
    </row>
    <row r="34" spans="1:7" x14ac:dyDescent="0.25">
      <c r="A34" s="47"/>
      <c r="B34" s="47"/>
      <c r="C34" s="47"/>
      <c r="D34" s="47"/>
      <c r="E34" s="47"/>
      <c r="F34" s="47"/>
      <c r="G34" s="47"/>
    </row>
    <row r="35" spans="1:7" x14ac:dyDescent="0.25">
      <c r="A35" s="47"/>
      <c r="B35" s="47"/>
      <c r="C35" s="47"/>
      <c r="D35" s="47"/>
      <c r="E35" s="47"/>
      <c r="F35" s="47"/>
      <c r="G35" s="47"/>
    </row>
    <row r="36" spans="1:7" x14ac:dyDescent="0.25">
      <c r="A36" s="47"/>
      <c r="B36" s="47"/>
      <c r="C36" s="47"/>
      <c r="D36" s="47"/>
      <c r="E36" s="47"/>
      <c r="F36" s="47"/>
      <c r="G36" s="47"/>
    </row>
    <row r="37" spans="1:7" x14ac:dyDescent="0.25">
      <c r="A37" s="47"/>
      <c r="B37" s="47"/>
      <c r="C37" s="47"/>
      <c r="D37" s="47"/>
      <c r="E37" s="47"/>
      <c r="F37" s="47"/>
      <c r="G37" s="47"/>
    </row>
    <row r="38" spans="1:7" x14ac:dyDescent="0.25">
      <c r="A38" s="47"/>
      <c r="B38" s="47"/>
      <c r="C38" s="47"/>
      <c r="D38" s="47"/>
      <c r="E38" s="47"/>
      <c r="F38" s="47"/>
      <c r="G38" s="47"/>
    </row>
    <row r="39" spans="1:7" x14ac:dyDescent="0.25">
      <c r="A39" s="47"/>
      <c r="B39" s="47"/>
      <c r="C39" s="47"/>
      <c r="D39" s="47"/>
      <c r="E39" s="47"/>
      <c r="F39" s="47"/>
      <c r="G39" s="47"/>
    </row>
    <row r="40" spans="1:7" x14ac:dyDescent="0.25">
      <c r="A40" s="47"/>
      <c r="B40" s="47"/>
      <c r="C40" s="47"/>
      <c r="D40" s="47"/>
      <c r="E40" s="47"/>
      <c r="F40" s="47"/>
      <c r="G40" s="47"/>
    </row>
    <row r="41" spans="1:7" x14ac:dyDescent="0.25">
      <c r="A41" s="47"/>
      <c r="B41" s="47"/>
      <c r="C41" s="47"/>
      <c r="D41" s="47"/>
      <c r="E41" s="47"/>
      <c r="F41" s="47"/>
      <c r="G41" s="47"/>
    </row>
    <row r="42" spans="1:7" x14ac:dyDescent="0.25">
      <c r="A42" s="47"/>
      <c r="B42" s="47"/>
      <c r="C42" s="47"/>
      <c r="D42" s="47"/>
      <c r="E42" s="47"/>
      <c r="F42" s="47"/>
      <c r="G42" s="47"/>
    </row>
    <row r="43" spans="1:7" x14ac:dyDescent="0.25">
      <c r="A43" s="47"/>
      <c r="B43" s="47"/>
      <c r="C43" s="47"/>
      <c r="D43" s="47"/>
      <c r="E43" s="47"/>
      <c r="F43" s="47"/>
      <c r="G43" s="47"/>
    </row>
    <row r="44" spans="1:7" x14ac:dyDescent="0.25">
      <c r="A44" s="47"/>
      <c r="B44" s="47"/>
      <c r="C44" s="47"/>
      <c r="D44" s="47"/>
      <c r="E44" s="47"/>
      <c r="F44" s="47"/>
      <c r="G44" s="47"/>
    </row>
    <row r="45" spans="1:7" x14ac:dyDescent="0.25">
      <c r="A45" s="47"/>
      <c r="B45" s="47"/>
      <c r="C45" s="47"/>
      <c r="D45" s="47"/>
      <c r="E45" s="47"/>
      <c r="F45" s="47"/>
      <c r="G45" s="47"/>
    </row>
    <row r="46" spans="1:7" x14ac:dyDescent="0.25">
      <c r="A46" s="47"/>
      <c r="B46" s="47"/>
      <c r="C46" s="47"/>
      <c r="D46" s="47"/>
      <c r="E46" s="47"/>
      <c r="F46" s="47"/>
      <c r="G46" s="47"/>
    </row>
    <row r="47" spans="1:7" x14ac:dyDescent="0.25">
      <c r="A47" s="47"/>
      <c r="B47" s="47"/>
      <c r="C47" s="47"/>
      <c r="D47" s="47"/>
      <c r="E47" s="47"/>
      <c r="F47" s="47"/>
      <c r="G47" s="47"/>
    </row>
    <row r="48" spans="1:7" x14ac:dyDescent="0.25">
      <c r="A48" s="47"/>
      <c r="B48" s="47"/>
      <c r="C48" s="47"/>
      <c r="D48" s="47"/>
      <c r="E48" s="47"/>
      <c r="F48" s="47"/>
      <c r="G48" s="47"/>
    </row>
    <row r="49" spans="1:7" x14ac:dyDescent="0.25">
      <c r="A49" s="47"/>
      <c r="B49" s="47"/>
      <c r="C49" s="47"/>
      <c r="D49" s="47"/>
      <c r="E49" s="47"/>
      <c r="F49" s="47"/>
      <c r="G49" s="47"/>
    </row>
    <row r="50" spans="1:7" x14ac:dyDescent="0.25">
      <c r="A50" s="47"/>
      <c r="B50" s="47"/>
      <c r="C50" s="47"/>
      <c r="D50" s="47"/>
      <c r="E50" s="47"/>
      <c r="F50" s="47"/>
      <c r="G50" s="47"/>
    </row>
    <row r="51" spans="1:7" x14ac:dyDescent="0.25">
      <c r="A51" s="47"/>
      <c r="B51" s="47"/>
      <c r="C51" s="47"/>
      <c r="D51" s="47"/>
      <c r="E51" s="47"/>
      <c r="F51" s="47"/>
      <c r="G51" s="47"/>
    </row>
    <row r="52" spans="1:7" x14ac:dyDescent="0.25">
      <c r="A52" s="47"/>
      <c r="B52" s="47"/>
      <c r="C52" s="47"/>
      <c r="D52" s="47"/>
      <c r="E52" s="47"/>
      <c r="F52" s="47"/>
      <c r="G52" s="47"/>
    </row>
    <row r="53" spans="1:7" x14ac:dyDescent="0.25">
      <c r="A53" s="47"/>
      <c r="B53" s="47"/>
      <c r="C53" s="47"/>
      <c r="D53" s="47"/>
      <c r="E53" s="47"/>
      <c r="F53" s="47"/>
      <c r="G53" s="47"/>
    </row>
    <row r="54" spans="1:7" x14ac:dyDescent="0.25">
      <c r="A54" s="47"/>
      <c r="B54" s="47"/>
      <c r="C54" s="47"/>
      <c r="D54" s="47"/>
      <c r="E54" s="47"/>
      <c r="F54" s="47"/>
      <c r="G54" s="47"/>
    </row>
    <row r="55" spans="1:7" x14ac:dyDescent="0.25">
      <c r="A55" s="47"/>
      <c r="B55" s="47"/>
      <c r="C55" s="47"/>
      <c r="D55" s="47"/>
      <c r="E55" s="47"/>
      <c r="F55" s="47"/>
      <c r="G55" s="47"/>
    </row>
    <row r="56" spans="1:7" x14ac:dyDescent="0.25">
      <c r="A56" s="47"/>
      <c r="B56" s="47"/>
      <c r="C56" s="47"/>
      <c r="D56" s="47"/>
      <c r="E56" s="47"/>
      <c r="F56" s="47"/>
      <c r="G56" s="47"/>
    </row>
    <row r="57" spans="1:7" x14ac:dyDescent="0.25">
      <c r="A57" s="47"/>
      <c r="B57" s="47"/>
      <c r="C57" s="47"/>
      <c r="D57" s="47"/>
      <c r="E57" s="47"/>
      <c r="F57" s="47"/>
      <c r="G57" s="47"/>
    </row>
    <row r="58" spans="1:7" x14ac:dyDescent="0.25">
      <c r="A58" s="47"/>
      <c r="B58" s="47"/>
      <c r="C58" s="47"/>
      <c r="D58" s="47"/>
      <c r="E58" s="47"/>
      <c r="F58" s="47"/>
      <c r="G58" s="47"/>
    </row>
    <row r="59" spans="1:7" x14ac:dyDescent="0.25">
      <c r="A59" s="47"/>
      <c r="B59" s="47"/>
      <c r="C59" s="47"/>
      <c r="D59" s="47"/>
      <c r="E59" s="47"/>
      <c r="F59" s="47"/>
      <c r="G59" s="47"/>
    </row>
    <row r="60" spans="1:7" x14ac:dyDescent="0.25">
      <c r="A60" s="47"/>
      <c r="B60" s="47"/>
      <c r="C60" s="47"/>
      <c r="D60" s="47"/>
      <c r="E60" s="47"/>
      <c r="F60" s="47"/>
      <c r="G60" s="47"/>
    </row>
    <row r="61" spans="1:7" x14ac:dyDescent="0.25">
      <c r="A61" s="47"/>
      <c r="B61" s="47"/>
      <c r="C61" s="47"/>
      <c r="D61" s="47"/>
      <c r="E61" s="47"/>
      <c r="F61" s="47"/>
      <c r="G61" s="47"/>
    </row>
    <row r="62" spans="1:7" x14ac:dyDescent="0.25">
      <c r="A62" s="47"/>
      <c r="B62" s="47"/>
      <c r="C62" s="47"/>
      <c r="D62" s="47"/>
      <c r="E62" s="47"/>
      <c r="F62" s="47"/>
      <c r="G62" s="47"/>
    </row>
  </sheetData>
  <mergeCells count="1">
    <mergeCell ref="A32:G6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ACE6-DD30-4E64-BD0F-D2FF60B9A05F}">
  <dimension ref="A1:J51"/>
  <sheetViews>
    <sheetView zoomScaleNormal="100" workbookViewId="0">
      <selection activeCell="M20" sqref="M20"/>
    </sheetView>
  </sheetViews>
  <sheetFormatPr defaultRowHeight="15" x14ac:dyDescent="0.25"/>
  <cols>
    <col min="1" max="1" width="37.28515625" customWidth="1"/>
    <col min="2" max="2" width="8.42578125" bestFit="1" customWidth="1"/>
    <col min="4" max="4" width="5.5703125" bestFit="1" customWidth="1"/>
    <col min="5" max="5" width="9.42578125" bestFit="1" customWidth="1"/>
    <col min="6" max="6" width="10" bestFit="1" customWidth="1"/>
    <col min="7" max="7" width="9.140625" bestFit="1" customWidth="1"/>
    <col min="8" max="8" width="34.85546875" bestFit="1" customWidth="1"/>
    <col min="9" max="9" width="26.28515625" bestFit="1" customWidth="1"/>
    <col min="10" max="10" width="11" bestFit="1" customWidth="1"/>
  </cols>
  <sheetData>
    <row r="1" spans="1:10" ht="18.75" x14ac:dyDescent="0.3">
      <c r="A1" s="27" t="s">
        <v>71</v>
      </c>
      <c r="B1" s="26"/>
      <c r="C1" s="26"/>
      <c r="D1" s="26"/>
      <c r="E1" s="26"/>
      <c r="F1" s="26"/>
      <c r="G1" s="26"/>
      <c r="H1" s="26"/>
      <c r="I1" s="26"/>
      <c r="J1" s="26"/>
    </row>
    <row r="2" spans="1:10" ht="15.75" x14ac:dyDescent="0.25">
      <c r="A2" s="28" t="s">
        <v>62</v>
      </c>
      <c r="B2" s="29">
        <f>'Historical Financials'!B4</f>
        <v>518400</v>
      </c>
      <c r="C2" s="7"/>
      <c r="D2" s="7" t="s">
        <v>0</v>
      </c>
      <c r="E2" s="7" t="s">
        <v>1</v>
      </c>
      <c r="F2" s="7" t="s">
        <v>65</v>
      </c>
      <c r="G2" s="7" t="s">
        <v>25</v>
      </c>
      <c r="H2" s="7" t="s">
        <v>68</v>
      </c>
      <c r="I2" s="7" t="s">
        <v>69</v>
      </c>
      <c r="J2" s="7" t="s">
        <v>26</v>
      </c>
    </row>
    <row r="3" spans="1:10" ht="15.75" x14ac:dyDescent="0.25">
      <c r="A3" s="28" t="s">
        <v>66</v>
      </c>
      <c r="B3" s="30">
        <f>'Historical Financials'!B15</f>
        <v>-3.4455926710389662E-2</v>
      </c>
      <c r="C3" s="4"/>
      <c r="D3" s="4">
        <v>2026</v>
      </c>
      <c r="E3" s="5">
        <f>B2</f>
        <v>518400</v>
      </c>
      <c r="F3" s="5">
        <f>E3*$B$5</f>
        <v>99287.669831956751</v>
      </c>
      <c r="G3" s="5">
        <f>F3-(E3*$B$6)</f>
        <v>85687.669831956751</v>
      </c>
      <c r="H3" s="5">
        <f>$B$7</f>
        <v>20000</v>
      </c>
      <c r="I3" s="5">
        <f>'FCF Normalization'!F21</f>
        <v>59100</v>
      </c>
      <c r="J3" s="5">
        <f>G3-H3-I3</f>
        <v>6587.6698319567513</v>
      </c>
    </row>
    <row r="4" spans="1:10" ht="15.75" x14ac:dyDescent="0.25">
      <c r="A4" s="28" t="s">
        <v>67</v>
      </c>
      <c r="B4" s="30">
        <v>-0.04</v>
      </c>
      <c r="C4" s="4"/>
      <c r="D4" s="4">
        <v>2027</v>
      </c>
      <c r="E4" s="5">
        <f>E3*(1+$B$4)</f>
        <v>497664</v>
      </c>
      <c r="F4" s="5">
        <f t="shared" ref="F4:F7" si="0">E4*$B$5</f>
        <v>95316.163038678482</v>
      </c>
      <c r="G4" s="5">
        <f t="shared" ref="G4:G7" si="1">F4-(E4*$B$6)</f>
        <v>82260.163038678482</v>
      </c>
      <c r="H4" s="5">
        <f t="shared" ref="H4:H12" si="2">$B$7</f>
        <v>20000</v>
      </c>
      <c r="I4" s="5">
        <f>'FCF Normalization'!F22</f>
        <v>58200</v>
      </c>
      <c r="J4" s="5">
        <f t="shared" ref="J4:J12" si="3">G4-H4-I4</f>
        <v>4060.1630386784818</v>
      </c>
    </row>
    <row r="5" spans="1:10" ht="15.75" x14ac:dyDescent="0.25">
      <c r="A5" s="28" t="s">
        <v>2</v>
      </c>
      <c r="B5" s="30">
        <f>'Historical Financials'!B16</f>
        <v>0.1915271408795462</v>
      </c>
      <c r="C5" s="6"/>
      <c r="D5" s="4">
        <v>2028</v>
      </c>
      <c r="E5" s="5">
        <f t="shared" ref="E5:E7" si="4">E4*(1+$B$4)</f>
        <v>477757.44</v>
      </c>
      <c r="F5" s="5">
        <f t="shared" si="0"/>
        <v>91503.516517131342</v>
      </c>
      <c r="G5" s="5">
        <f t="shared" si="1"/>
        <v>78969.756517131347</v>
      </c>
      <c r="H5" s="5">
        <f t="shared" si="2"/>
        <v>20000</v>
      </c>
      <c r="I5" s="5">
        <f>'FCF Normalization'!F23</f>
        <v>15300</v>
      </c>
      <c r="J5" s="5">
        <f t="shared" si="3"/>
        <v>43669.756517131347</v>
      </c>
    </row>
    <row r="6" spans="1:10" ht="15.75" x14ac:dyDescent="0.25">
      <c r="A6" s="28" t="s">
        <v>64</v>
      </c>
      <c r="B6" s="30">
        <f>-1*'Historical Financials'!J4/'Historical Financials'!B4</f>
        <v>2.6234567901234566E-2</v>
      </c>
      <c r="C6" s="4"/>
      <c r="D6" s="4">
        <v>2029</v>
      </c>
      <c r="E6" s="5">
        <f t="shared" si="4"/>
        <v>458647.14240000001</v>
      </c>
      <c r="F6" s="5">
        <f t="shared" si="0"/>
        <v>87843.375856446088</v>
      </c>
      <c r="G6" s="5">
        <f t="shared" si="1"/>
        <v>75810.966256446089</v>
      </c>
      <c r="H6" s="5">
        <f t="shared" si="2"/>
        <v>20000</v>
      </c>
      <c r="I6" s="5">
        <f>'FCF Normalization'!F24</f>
        <v>15000</v>
      </c>
      <c r="J6" s="5">
        <f t="shared" si="3"/>
        <v>40810.966256446089</v>
      </c>
    </row>
    <row r="7" spans="1:10" ht="15.75" x14ac:dyDescent="0.25">
      <c r="A7" s="28" t="s">
        <v>43</v>
      </c>
      <c r="B7" s="29">
        <f>'FCF Normalization'!E3</f>
        <v>20000</v>
      </c>
      <c r="C7" s="4"/>
      <c r="D7" s="4">
        <v>2030</v>
      </c>
      <c r="E7" s="5">
        <f t="shared" si="4"/>
        <v>440301.256704</v>
      </c>
      <c r="F7" s="5">
        <f t="shared" si="0"/>
        <v>84329.640822188245</v>
      </c>
      <c r="G7" s="5">
        <f t="shared" si="1"/>
        <v>72778.527606188247</v>
      </c>
      <c r="H7" s="5">
        <f t="shared" si="2"/>
        <v>20000</v>
      </c>
      <c r="I7" s="5">
        <f>'FCF Normalization'!F25</f>
        <v>15000</v>
      </c>
      <c r="J7" s="5">
        <f t="shared" si="3"/>
        <v>37778.527606188247</v>
      </c>
    </row>
    <row r="8" spans="1:10" ht="15.75" x14ac:dyDescent="0.25">
      <c r="A8" s="31" t="s">
        <v>70</v>
      </c>
      <c r="B8" s="32">
        <v>15000</v>
      </c>
      <c r="C8" s="4"/>
      <c r="D8" s="4">
        <v>2031</v>
      </c>
      <c r="E8" s="5">
        <f>E7*(1+$B$4)</f>
        <v>422689.20643583999</v>
      </c>
      <c r="F8" s="5">
        <f>E8*$B$5</f>
        <v>80956.455189300716</v>
      </c>
      <c r="G8" s="5">
        <f>F8-(E8*$B$6)</f>
        <v>69867.386501940724</v>
      </c>
      <c r="H8" s="5">
        <f t="shared" si="2"/>
        <v>20000</v>
      </c>
      <c r="I8" s="5">
        <f>'FCF Normalization'!F26</f>
        <v>15000</v>
      </c>
      <c r="J8" s="5">
        <f t="shared" si="3"/>
        <v>34867.386501940724</v>
      </c>
    </row>
    <row r="9" spans="1:10" ht="15.75" x14ac:dyDescent="0.25">
      <c r="A9" s="4"/>
      <c r="B9" s="4"/>
      <c r="C9" s="4"/>
      <c r="D9" s="4">
        <v>2032</v>
      </c>
      <c r="E9" s="5">
        <f t="shared" ref="E9:E12" si="5">E8*(1+$B$4)</f>
        <v>405781.6381784064</v>
      </c>
      <c r="F9" s="5">
        <f t="shared" ref="F9:F12" si="6">E9*$B$5</f>
        <v>77718.196981728688</v>
      </c>
      <c r="G9" s="5">
        <f t="shared" ref="G9:G12" si="7">F9-(E9*$B$6)</f>
        <v>67072.691041863087</v>
      </c>
      <c r="H9" s="5">
        <f t="shared" si="2"/>
        <v>20000</v>
      </c>
      <c r="I9" s="5">
        <f>'FCF Normalization'!F27</f>
        <v>15000</v>
      </c>
      <c r="J9" s="5">
        <f t="shared" si="3"/>
        <v>32072.691041863087</v>
      </c>
    </row>
    <row r="10" spans="1:10" ht="15.75" x14ac:dyDescent="0.25">
      <c r="A10" s="4"/>
      <c r="B10" s="4"/>
      <c r="C10" s="4"/>
      <c r="D10" s="4">
        <v>2033</v>
      </c>
      <c r="E10" s="5">
        <f t="shared" si="5"/>
        <v>389550.37265127013</v>
      </c>
      <c r="F10" s="5">
        <f t="shared" si="6"/>
        <v>74609.469102459538</v>
      </c>
      <c r="G10" s="5">
        <f t="shared" si="7"/>
        <v>64389.783400188564</v>
      </c>
      <c r="H10" s="5">
        <f t="shared" si="2"/>
        <v>20000</v>
      </c>
      <c r="I10" s="5">
        <f>'FCF Normalization'!F28</f>
        <v>15000</v>
      </c>
      <c r="J10" s="5">
        <f t="shared" si="3"/>
        <v>29389.783400188564</v>
      </c>
    </row>
    <row r="11" spans="1:10" ht="15.75" x14ac:dyDescent="0.25">
      <c r="A11" s="4"/>
      <c r="B11" s="4"/>
      <c r="C11" s="4"/>
      <c r="D11" s="4">
        <v>2034</v>
      </c>
      <c r="E11" s="5">
        <f t="shared" si="5"/>
        <v>373968.35774521931</v>
      </c>
      <c r="F11" s="5">
        <f t="shared" si="6"/>
        <v>71625.090338361144</v>
      </c>
      <c r="G11" s="5">
        <f t="shared" si="7"/>
        <v>61814.192064181007</v>
      </c>
      <c r="H11" s="5">
        <f t="shared" si="2"/>
        <v>20000</v>
      </c>
      <c r="I11" s="5">
        <f>'FCF Normalization'!F29</f>
        <v>15000</v>
      </c>
      <c r="J11" s="5">
        <f t="shared" si="3"/>
        <v>26814.192064181007</v>
      </c>
    </row>
    <row r="12" spans="1:10" ht="15.75" x14ac:dyDescent="0.25">
      <c r="A12" s="4"/>
      <c r="B12" s="4"/>
      <c r="C12" s="4"/>
      <c r="D12" s="33">
        <v>2035</v>
      </c>
      <c r="E12" s="34">
        <f t="shared" si="5"/>
        <v>359009.62343541055</v>
      </c>
      <c r="F12" s="34">
        <f t="shared" si="6"/>
        <v>68760.086724826702</v>
      </c>
      <c r="G12" s="34">
        <f t="shared" si="7"/>
        <v>59341.624381613772</v>
      </c>
      <c r="H12" s="34">
        <f t="shared" si="2"/>
        <v>20000</v>
      </c>
      <c r="I12" s="34">
        <f>'FCF Normalization'!F30</f>
        <v>15000</v>
      </c>
      <c r="J12" s="34">
        <f t="shared" si="3"/>
        <v>24341.624381613772</v>
      </c>
    </row>
    <row r="13" spans="1:10" ht="15.75" x14ac:dyDescent="0.25">
      <c r="A13" s="4"/>
      <c r="B13" s="4"/>
      <c r="C13" s="4"/>
      <c r="D13" s="4"/>
      <c r="E13" s="4"/>
      <c r="F13" s="4"/>
      <c r="G13" s="4"/>
      <c r="H13" s="4"/>
      <c r="I13" s="4"/>
      <c r="J13" s="5">
        <f>SUM(J3:J12)</f>
        <v>280392.76064018806</v>
      </c>
    </row>
    <row r="18" spans="1:10" ht="15" customHeight="1" x14ac:dyDescent="0.25">
      <c r="A18" s="47" t="s">
        <v>74</v>
      </c>
      <c r="B18" s="47"/>
      <c r="C18" s="47"/>
      <c r="D18" s="47"/>
      <c r="E18" s="47"/>
      <c r="F18" s="47"/>
      <c r="G18" s="47"/>
      <c r="H18" s="47"/>
      <c r="I18" s="47"/>
      <c r="J18" s="47"/>
    </row>
    <row r="19" spans="1:10" x14ac:dyDescent="0.25">
      <c r="A19" s="47"/>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x14ac:dyDescent="0.25">
      <c r="A30" s="47"/>
      <c r="B30" s="47"/>
      <c r="C30" s="47"/>
      <c r="D30" s="47"/>
      <c r="E30" s="47"/>
      <c r="F30" s="47"/>
      <c r="G30" s="47"/>
      <c r="H30" s="47"/>
      <c r="I30" s="47"/>
      <c r="J30" s="47"/>
    </row>
    <row r="31" spans="1:10" x14ac:dyDescent="0.25">
      <c r="A31" s="47"/>
      <c r="B31" s="47"/>
      <c r="C31" s="47"/>
      <c r="D31" s="47"/>
      <c r="E31" s="47"/>
      <c r="F31" s="47"/>
      <c r="G31" s="47"/>
      <c r="H31" s="47"/>
      <c r="I31" s="47"/>
      <c r="J31" s="47"/>
    </row>
    <row r="32" spans="1:10" x14ac:dyDescent="0.25">
      <c r="A32" s="47"/>
      <c r="B32" s="47"/>
      <c r="C32" s="47"/>
      <c r="D32" s="47"/>
      <c r="E32" s="47"/>
      <c r="F32" s="47"/>
      <c r="G32" s="47"/>
      <c r="H32" s="47"/>
      <c r="I32" s="47"/>
      <c r="J32" s="47"/>
    </row>
    <row r="33" spans="1:10" x14ac:dyDescent="0.25">
      <c r="A33" s="47"/>
      <c r="B33" s="47"/>
      <c r="C33" s="47"/>
      <c r="D33" s="47"/>
      <c r="E33" s="47"/>
      <c r="F33" s="47"/>
      <c r="G33" s="47"/>
      <c r="H33" s="47"/>
      <c r="I33" s="47"/>
      <c r="J33" s="47"/>
    </row>
    <row r="34" spans="1:10" x14ac:dyDescent="0.25">
      <c r="A34" s="47"/>
      <c r="B34" s="47"/>
      <c r="C34" s="47"/>
      <c r="D34" s="47"/>
      <c r="E34" s="47"/>
      <c r="F34" s="47"/>
      <c r="G34" s="47"/>
      <c r="H34" s="47"/>
      <c r="I34" s="47"/>
      <c r="J34" s="47"/>
    </row>
    <row r="35" spans="1:10" x14ac:dyDescent="0.25">
      <c r="A35" s="47"/>
      <c r="B35" s="47"/>
      <c r="C35" s="47"/>
      <c r="D35" s="47"/>
      <c r="E35" s="47"/>
      <c r="F35" s="47"/>
      <c r="G35" s="47"/>
      <c r="H35" s="47"/>
      <c r="I35" s="47"/>
      <c r="J35" s="47"/>
    </row>
    <row r="36" spans="1:10" x14ac:dyDescent="0.25">
      <c r="A36" s="47"/>
      <c r="B36" s="47"/>
      <c r="C36" s="47"/>
      <c r="D36" s="47"/>
      <c r="E36" s="47"/>
      <c r="F36" s="47"/>
      <c r="G36" s="47"/>
      <c r="H36" s="47"/>
      <c r="I36" s="47"/>
      <c r="J36" s="47"/>
    </row>
    <row r="37" spans="1:10" x14ac:dyDescent="0.25">
      <c r="A37" s="47"/>
      <c r="B37" s="47"/>
      <c r="C37" s="47"/>
      <c r="D37" s="47"/>
      <c r="E37" s="47"/>
      <c r="F37" s="47"/>
      <c r="G37" s="47"/>
      <c r="H37" s="47"/>
      <c r="I37" s="47"/>
      <c r="J37" s="47"/>
    </row>
    <row r="38" spans="1:10" x14ac:dyDescent="0.25">
      <c r="A38" s="47"/>
      <c r="B38" s="47"/>
      <c r="C38" s="47"/>
      <c r="D38" s="47"/>
      <c r="E38" s="47"/>
      <c r="F38" s="47"/>
      <c r="G38" s="47"/>
      <c r="H38" s="47"/>
      <c r="I38" s="47"/>
      <c r="J38" s="47"/>
    </row>
    <row r="39" spans="1:10" x14ac:dyDescent="0.25">
      <c r="A39" s="47"/>
      <c r="B39" s="47"/>
      <c r="C39" s="47"/>
      <c r="D39" s="47"/>
      <c r="E39" s="47"/>
      <c r="F39" s="47"/>
      <c r="G39" s="47"/>
      <c r="H39" s="47"/>
      <c r="I39" s="47"/>
      <c r="J39" s="47"/>
    </row>
    <row r="40" spans="1:10" x14ac:dyDescent="0.25">
      <c r="A40" s="47"/>
      <c r="B40" s="47"/>
      <c r="C40" s="47"/>
      <c r="D40" s="47"/>
      <c r="E40" s="47"/>
      <c r="F40" s="47"/>
      <c r="G40" s="47"/>
      <c r="H40" s="47"/>
      <c r="I40" s="47"/>
      <c r="J40" s="47"/>
    </row>
    <row r="41" spans="1:10" x14ac:dyDescent="0.25">
      <c r="A41" s="47"/>
      <c r="B41" s="47"/>
      <c r="C41" s="47"/>
      <c r="D41" s="47"/>
      <c r="E41" s="47"/>
      <c r="F41" s="47"/>
      <c r="G41" s="47"/>
      <c r="H41" s="47"/>
      <c r="I41" s="47"/>
      <c r="J41" s="47"/>
    </row>
    <row r="42" spans="1:10" x14ac:dyDescent="0.25">
      <c r="A42" s="47"/>
      <c r="B42" s="47"/>
      <c r="C42" s="47"/>
      <c r="D42" s="47"/>
      <c r="E42" s="47"/>
      <c r="F42" s="47"/>
      <c r="G42" s="47"/>
      <c r="H42" s="47"/>
      <c r="I42" s="47"/>
      <c r="J42" s="47"/>
    </row>
    <row r="43" spans="1:10" x14ac:dyDescent="0.25">
      <c r="A43" s="47"/>
      <c r="B43" s="47"/>
      <c r="C43" s="47"/>
      <c r="D43" s="47"/>
      <c r="E43" s="47"/>
      <c r="F43" s="47"/>
      <c r="G43" s="47"/>
      <c r="H43" s="47"/>
      <c r="I43" s="47"/>
      <c r="J43" s="47"/>
    </row>
    <row r="44" spans="1:10" x14ac:dyDescent="0.25">
      <c r="A44" s="47"/>
      <c r="B44" s="47"/>
      <c r="C44" s="47"/>
      <c r="D44" s="47"/>
      <c r="E44" s="47"/>
      <c r="F44" s="47"/>
      <c r="G44" s="47"/>
      <c r="H44" s="47"/>
      <c r="I44" s="47"/>
      <c r="J44" s="47"/>
    </row>
    <row r="45" spans="1:10" x14ac:dyDescent="0.25">
      <c r="A45" s="47"/>
      <c r="B45" s="47"/>
      <c r="C45" s="47"/>
      <c r="D45" s="47"/>
      <c r="E45" s="47"/>
      <c r="F45" s="47"/>
      <c r="G45" s="47"/>
      <c r="H45" s="47"/>
      <c r="I45" s="47"/>
      <c r="J45" s="47"/>
    </row>
    <row r="46" spans="1:10" x14ac:dyDescent="0.25">
      <c r="A46" s="47"/>
      <c r="B46" s="47"/>
      <c r="C46" s="47"/>
      <c r="D46" s="47"/>
      <c r="E46" s="47"/>
      <c r="F46" s="47"/>
      <c r="G46" s="47"/>
      <c r="H46" s="47"/>
      <c r="I46" s="47"/>
      <c r="J46" s="47"/>
    </row>
    <row r="47" spans="1:10" x14ac:dyDescent="0.25">
      <c r="A47" s="47"/>
      <c r="B47" s="47"/>
      <c r="C47" s="47"/>
      <c r="D47" s="47"/>
      <c r="E47" s="47"/>
      <c r="F47" s="47"/>
      <c r="G47" s="47"/>
      <c r="H47" s="47"/>
      <c r="I47" s="47"/>
      <c r="J47" s="47"/>
    </row>
    <row r="48" spans="1:10" x14ac:dyDescent="0.25">
      <c r="A48" s="47"/>
      <c r="B48" s="47"/>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sheetData>
  <mergeCells count="1">
    <mergeCell ref="A18:J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267-9FC5-4696-8BDD-579AABB46252}">
  <dimension ref="A1:M58"/>
  <sheetViews>
    <sheetView workbookViewId="0">
      <selection activeCell="O17" sqref="O17"/>
    </sheetView>
  </sheetViews>
  <sheetFormatPr defaultRowHeight="15" x14ac:dyDescent="0.25"/>
  <cols>
    <col min="1" max="1" width="16" bestFit="1" customWidth="1"/>
    <col min="2" max="2" width="16.7109375" customWidth="1"/>
    <col min="4" max="4" width="10.85546875" bestFit="1" customWidth="1"/>
    <col min="8" max="8" width="14.7109375" bestFit="1" customWidth="1"/>
    <col min="9" max="9" width="10.28515625" bestFit="1" customWidth="1"/>
  </cols>
  <sheetData>
    <row r="1" spans="1:10" ht="18.75" x14ac:dyDescent="0.3">
      <c r="A1" s="27" t="s">
        <v>76</v>
      </c>
      <c r="B1" s="26"/>
      <c r="C1" s="26"/>
      <c r="D1" s="26"/>
      <c r="E1" s="26"/>
      <c r="F1" s="26"/>
      <c r="G1" s="26"/>
      <c r="H1" s="26"/>
      <c r="I1" s="26"/>
      <c r="J1" s="26"/>
    </row>
    <row r="2" spans="1:10" x14ac:dyDescent="0.25">
      <c r="A2" t="s">
        <v>77</v>
      </c>
      <c r="B2" s="1">
        <f>'Cash Harvest Model'!B2</f>
        <v>518400</v>
      </c>
    </row>
    <row r="3" spans="1:10" x14ac:dyDescent="0.25">
      <c r="A3" t="s">
        <v>8</v>
      </c>
      <c r="B3" s="2">
        <f>'Cash Harvest Model'!B5</f>
        <v>0.1915271408795462</v>
      </c>
    </row>
    <row r="4" spans="1:10" x14ac:dyDescent="0.25">
      <c r="A4" t="s">
        <v>81</v>
      </c>
      <c r="B4" s="2">
        <f>'Cash Harvest Model'!B6</f>
        <v>2.6234567901234566E-2</v>
      </c>
    </row>
    <row r="5" spans="1:10" x14ac:dyDescent="0.25">
      <c r="A5" t="s">
        <v>78</v>
      </c>
      <c r="B5" s="2">
        <v>0.25</v>
      </c>
    </row>
    <row r="6" spans="1:10" x14ac:dyDescent="0.25">
      <c r="A6" t="s">
        <v>79</v>
      </c>
      <c r="B6" s="2">
        <v>0.1</v>
      </c>
    </row>
    <row r="7" spans="1:10" x14ac:dyDescent="0.25">
      <c r="A7" t="s">
        <v>80</v>
      </c>
      <c r="B7" s="2">
        <v>-0.02</v>
      </c>
    </row>
    <row r="8" spans="1:10" x14ac:dyDescent="0.25">
      <c r="A8" t="s">
        <v>63</v>
      </c>
      <c r="B8" s="43">
        <v>-0.04</v>
      </c>
    </row>
    <row r="9" spans="1:10" x14ac:dyDescent="0.25">
      <c r="A9" t="s">
        <v>111</v>
      </c>
      <c r="B9" s="43">
        <v>-0.2137</v>
      </c>
    </row>
    <row r="11" spans="1:10" x14ac:dyDescent="0.25">
      <c r="A11" s="14" t="s">
        <v>0</v>
      </c>
      <c r="B11" s="14" t="s">
        <v>1</v>
      </c>
      <c r="C11" s="14" t="s">
        <v>82</v>
      </c>
      <c r="D11" s="14" t="s">
        <v>83</v>
      </c>
      <c r="E11" s="14" t="s">
        <v>84</v>
      </c>
      <c r="F11" s="14" t="s">
        <v>4</v>
      </c>
      <c r="G11" s="14" t="s">
        <v>29</v>
      </c>
      <c r="H11" s="14" t="s">
        <v>85</v>
      </c>
      <c r="I11" s="14" t="s">
        <v>86</v>
      </c>
    </row>
    <row r="12" spans="1:10" x14ac:dyDescent="0.25">
      <c r="A12">
        <v>2026</v>
      </c>
      <c r="B12" s="1">
        <f>$B$2</f>
        <v>518400</v>
      </c>
      <c r="C12" s="1">
        <f>B12*$B$3</f>
        <v>99287.669831956751</v>
      </c>
      <c r="D12" s="1">
        <f>C12*$B$5</f>
        <v>24821.917457989188</v>
      </c>
      <c r="E12" s="1">
        <f>C12-D12</f>
        <v>74465.752373967567</v>
      </c>
      <c r="F12" s="1">
        <f>B12*$B$4</f>
        <v>13600</v>
      </c>
      <c r="G12" s="1">
        <f t="shared" ref="G12:G21" si="0">E12-F12</f>
        <v>60865.752373967567</v>
      </c>
      <c r="H12" s="42">
        <f t="shared" ref="H12:H21" si="1">1/(1+$B$6)^(A12-$A$12+1)</f>
        <v>0.90909090909090906</v>
      </c>
      <c r="I12" s="1">
        <f>G12*H12</f>
        <v>55332.502158152332</v>
      </c>
    </row>
    <row r="13" spans="1:10" x14ac:dyDescent="0.25">
      <c r="A13">
        <v>2027</v>
      </c>
      <c r="B13" s="1">
        <f>B12*(1+$B$8)</f>
        <v>497664</v>
      </c>
      <c r="C13" s="1">
        <f t="shared" ref="C13:C21" si="2">B13*$B$3</f>
        <v>95316.163038678482</v>
      </c>
      <c r="D13" s="1">
        <f t="shared" ref="D13:D21" si="3">C13*$B$5</f>
        <v>23829.04075966962</v>
      </c>
      <c r="E13" s="1">
        <f t="shared" ref="E13:E21" si="4">C13-D13</f>
        <v>71487.122279008865</v>
      </c>
      <c r="F13" s="1">
        <f t="shared" ref="F13:F21" si="5">B13*$B$4</f>
        <v>13056</v>
      </c>
      <c r="G13" s="1">
        <f t="shared" si="0"/>
        <v>58431.122279008865</v>
      </c>
      <c r="H13" s="42">
        <f t="shared" si="1"/>
        <v>0.82644628099173545</v>
      </c>
      <c r="I13" s="1">
        <f t="shared" ref="I13:I21" si="6">G13*H13</f>
        <v>48290.183701660215</v>
      </c>
    </row>
    <row r="14" spans="1:10" x14ac:dyDescent="0.25">
      <c r="A14">
        <v>2028</v>
      </c>
      <c r="B14" s="1">
        <f t="shared" ref="B14:B21" si="7">B13*(1+$B$8)</f>
        <v>477757.44</v>
      </c>
      <c r="C14" s="1">
        <f t="shared" si="2"/>
        <v>91503.516517131342</v>
      </c>
      <c r="D14" s="1">
        <f t="shared" si="3"/>
        <v>22875.879129282835</v>
      </c>
      <c r="E14" s="1">
        <f t="shared" si="4"/>
        <v>68627.637387848503</v>
      </c>
      <c r="F14" s="1">
        <f t="shared" si="5"/>
        <v>12533.76</v>
      </c>
      <c r="G14" s="1">
        <f t="shared" si="0"/>
        <v>56093.877387848501</v>
      </c>
      <c r="H14" s="42">
        <f t="shared" si="1"/>
        <v>0.75131480090157754</v>
      </c>
      <c r="I14" s="1">
        <f t="shared" si="6"/>
        <v>42144.160321448901</v>
      </c>
    </row>
    <row r="15" spans="1:10" x14ac:dyDescent="0.25">
      <c r="A15">
        <v>2029</v>
      </c>
      <c r="B15" s="1">
        <f t="shared" si="7"/>
        <v>458647.14240000001</v>
      </c>
      <c r="C15" s="1">
        <f t="shared" si="2"/>
        <v>87843.375856446088</v>
      </c>
      <c r="D15" s="1">
        <f t="shared" si="3"/>
        <v>21960.843964111522</v>
      </c>
      <c r="E15" s="1">
        <f t="shared" si="4"/>
        <v>65882.531892334562</v>
      </c>
      <c r="F15" s="1">
        <f t="shared" si="5"/>
        <v>12032.409599999999</v>
      </c>
      <c r="G15" s="1">
        <f t="shared" si="0"/>
        <v>53850.122292334563</v>
      </c>
      <c r="H15" s="42">
        <f t="shared" si="1"/>
        <v>0.68301345536507052</v>
      </c>
      <c r="I15" s="1">
        <f t="shared" si="6"/>
        <v>36780.358098719043</v>
      </c>
    </row>
    <row r="16" spans="1:10" x14ac:dyDescent="0.25">
      <c r="A16">
        <v>2030</v>
      </c>
      <c r="B16" s="1">
        <f t="shared" si="7"/>
        <v>440301.256704</v>
      </c>
      <c r="C16" s="1">
        <f t="shared" si="2"/>
        <v>84329.640822188245</v>
      </c>
      <c r="D16" s="1">
        <f t="shared" si="3"/>
        <v>21082.410205547061</v>
      </c>
      <c r="E16" s="1">
        <f t="shared" si="4"/>
        <v>63247.230616641187</v>
      </c>
      <c r="F16" s="1">
        <f t="shared" si="5"/>
        <v>11551.113216</v>
      </c>
      <c r="G16" s="1">
        <f t="shared" si="0"/>
        <v>51696.117400641189</v>
      </c>
      <c r="H16" s="42">
        <f t="shared" si="1"/>
        <v>0.62092132305915493</v>
      </c>
      <c r="I16" s="1">
        <f t="shared" si="6"/>
        <v>32099.22161342753</v>
      </c>
    </row>
    <row r="17" spans="1:13" x14ac:dyDescent="0.25">
      <c r="A17">
        <v>2031</v>
      </c>
      <c r="B17" s="1">
        <f t="shared" si="7"/>
        <v>422689.20643583999</v>
      </c>
      <c r="C17" s="1">
        <f t="shared" si="2"/>
        <v>80956.455189300716</v>
      </c>
      <c r="D17" s="1">
        <f t="shared" si="3"/>
        <v>20239.113797325179</v>
      </c>
      <c r="E17" s="1">
        <f t="shared" si="4"/>
        <v>60717.34139197554</v>
      </c>
      <c r="F17" s="1">
        <f t="shared" si="5"/>
        <v>11089.068687359999</v>
      </c>
      <c r="G17" s="1">
        <f t="shared" si="0"/>
        <v>49628.272704615541</v>
      </c>
      <c r="H17" s="42">
        <f t="shared" si="1"/>
        <v>0.56447393005377722</v>
      </c>
      <c r="I17" s="1">
        <f t="shared" si="6"/>
        <v>28013.866135354936</v>
      </c>
    </row>
    <row r="18" spans="1:13" x14ac:dyDescent="0.25">
      <c r="A18">
        <v>2032</v>
      </c>
      <c r="B18" s="1">
        <f t="shared" si="7"/>
        <v>405781.6381784064</v>
      </c>
      <c r="C18" s="1">
        <f t="shared" si="2"/>
        <v>77718.196981728688</v>
      </c>
      <c r="D18" s="1">
        <f t="shared" si="3"/>
        <v>19429.549245432172</v>
      </c>
      <c r="E18" s="1">
        <f t="shared" si="4"/>
        <v>58288.647736296516</v>
      </c>
      <c r="F18" s="1">
        <f t="shared" si="5"/>
        <v>10645.505939865599</v>
      </c>
      <c r="G18" s="1">
        <f t="shared" si="0"/>
        <v>47643.141796430915</v>
      </c>
      <c r="H18" s="42">
        <f t="shared" si="1"/>
        <v>0.51315811823070645</v>
      </c>
      <c r="I18" s="1">
        <f t="shared" si="6"/>
        <v>24448.464990855209</v>
      </c>
    </row>
    <row r="19" spans="1:13" x14ac:dyDescent="0.25">
      <c r="A19">
        <v>2033</v>
      </c>
      <c r="B19" s="1">
        <f t="shared" si="7"/>
        <v>389550.37265127013</v>
      </c>
      <c r="C19" s="1">
        <f t="shared" si="2"/>
        <v>74609.469102459538</v>
      </c>
      <c r="D19" s="1">
        <f t="shared" si="3"/>
        <v>18652.367275614884</v>
      </c>
      <c r="E19" s="1">
        <f t="shared" si="4"/>
        <v>55957.10182684465</v>
      </c>
      <c r="F19" s="1">
        <f t="shared" si="5"/>
        <v>10219.685702270976</v>
      </c>
      <c r="G19" s="1">
        <f t="shared" si="0"/>
        <v>45737.416124573676</v>
      </c>
      <c r="H19" s="42">
        <f t="shared" si="1"/>
        <v>0.46650738020973315</v>
      </c>
      <c r="I19" s="1">
        <f t="shared" si="6"/>
        <v>21336.842173837271</v>
      </c>
    </row>
    <row r="20" spans="1:13" x14ac:dyDescent="0.25">
      <c r="A20">
        <v>2034</v>
      </c>
      <c r="B20" s="1">
        <f t="shared" si="7"/>
        <v>373968.35774521931</v>
      </c>
      <c r="C20" s="1">
        <f t="shared" si="2"/>
        <v>71625.090338361144</v>
      </c>
      <c r="D20" s="1">
        <f t="shared" si="3"/>
        <v>17906.272584590286</v>
      </c>
      <c r="E20" s="1">
        <f t="shared" si="4"/>
        <v>53718.817753770854</v>
      </c>
      <c r="F20" s="1">
        <f t="shared" si="5"/>
        <v>9810.8982741801356</v>
      </c>
      <c r="G20" s="1">
        <f t="shared" si="0"/>
        <v>43907.919479590717</v>
      </c>
      <c r="H20" s="42">
        <f t="shared" si="1"/>
        <v>0.42409761837248466</v>
      </c>
      <c r="I20" s="1">
        <f t="shared" si="6"/>
        <v>18621.244078985248</v>
      </c>
      <c r="K20" s="1"/>
    </row>
    <row r="21" spans="1:13" x14ac:dyDescent="0.25">
      <c r="A21">
        <v>2035</v>
      </c>
      <c r="B21" s="1">
        <f t="shared" si="7"/>
        <v>359009.62343541055</v>
      </c>
      <c r="C21" s="1">
        <f t="shared" si="2"/>
        <v>68760.086724826702</v>
      </c>
      <c r="D21" s="1">
        <f t="shared" si="3"/>
        <v>17190.021681206676</v>
      </c>
      <c r="E21" s="1">
        <f t="shared" si="4"/>
        <v>51570.065043620023</v>
      </c>
      <c r="F21" s="1">
        <f t="shared" si="5"/>
        <v>9418.4623432129301</v>
      </c>
      <c r="G21" s="1">
        <f t="shared" si="0"/>
        <v>42151.602700407093</v>
      </c>
      <c r="H21" s="42">
        <f t="shared" si="1"/>
        <v>0.38554328942953148</v>
      </c>
      <c r="I21" s="1">
        <f t="shared" si="6"/>
        <v>16251.267559841672</v>
      </c>
    </row>
    <row r="22" spans="1:13" x14ac:dyDescent="0.25">
      <c r="I22" s="1">
        <f>SUM(I12:I21)</f>
        <v>323318.11083228234</v>
      </c>
    </row>
    <row r="23" spans="1:13" x14ac:dyDescent="0.25">
      <c r="A23" t="s">
        <v>86</v>
      </c>
      <c r="B23" s="1">
        <f>I22</f>
        <v>323318.11083228234</v>
      </c>
      <c r="C23" t="s">
        <v>108</v>
      </c>
      <c r="J23" s="1"/>
    </row>
    <row r="24" spans="1:13" x14ac:dyDescent="0.25">
      <c r="A24" t="s">
        <v>87</v>
      </c>
      <c r="B24" s="1">
        <f>G21*(1+$B$7)</f>
        <v>41308.570646398948</v>
      </c>
    </row>
    <row r="25" spans="1:13" x14ac:dyDescent="0.25">
      <c r="A25" t="s">
        <v>89</v>
      </c>
      <c r="B25" s="1">
        <f>B24/(B6-B7)</f>
        <v>344238.08871999121</v>
      </c>
    </row>
    <row r="26" spans="1:13" x14ac:dyDescent="0.25">
      <c r="A26" t="s">
        <v>88</v>
      </c>
      <c r="B26" s="1">
        <f>B25*H21</f>
        <v>132718.6850720403</v>
      </c>
      <c r="C26" t="s">
        <v>109</v>
      </c>
    </row>
    <row r="27" spans="1:13" x14ac:dyDescent="0.25">
      <c r="A27" t="s">
        <v>90</v>
      </c>
      <c r="B27" s="1">
        <f>B23+B26</f>
        <v>456036.79590432264</v>
      </c>
    </row>
    <row r="28" spans="1:13" x14ac:dyDescent="0.25">
      <c r="A28" t="s">
        <v>91</v>
      </c>
      <c r="B28" s="1">
        <f>Summary!B2</f>
        <v>209259.09</v>
      </c>
    </row>
    <row r="29" spans="1:13" x14ac:dyDescent="0.25">
      <c r="A29" t="s">
        <v>107</v>
      </c>
      <c r="B29" s="44">
        <f>B27-B28</f>
        <v>246777.70590432265</v>
      </c>
    </row>
    <row r="31" spans="1:13" ht="15" customHeight="1" x14ac:dyDescent="0.25">
      <c r="A31" s="47" t="s">
        <v>92</v>
      </c>
      <c r="B31" s="47"/>
      <c r="C31" s="47"/>
      <c r="D31" s="47"/>
      <c r="E31" s="47"/>
      <c r="F31" s="47"/>
      <c r="G31" s="47"/>
      <c r="H31" s="47"/>
      <c r="I31" s="47"/>
      <c r="J31" s="47"/>
      <c r="K31" s="47"/>
      <c r="L31" s="47"/>
      <c r="M31" s="47"/>
    </row>
    <row r="32" spans="1:13" x14ac:dyDescent="0.25">
      <c r="A32" s="47"/>
      <c r="B32" s="47"/>
      <c r="C32" s="47"/>
      <c r="D32" s="47"/>
      <c r="E32" s="47"/>
      <c r="F32" s="47"/>
      <c r="G32" s="47"/>
      <c r="H32" s="47"/>
      <c r="I32" s="47"/>
      <c r="J32" s="47"/>
      <c r="K32" s="47"/>
      <c r="L32" s="47"/>
      <c r="M32" s="47"/>
    </row>
    <row r="33" spans="1:13" x14ac:dyDescent="0.25">
      <c r="A33" s="47"/>
      <c r="B33" s="47"/>
      <c r="C33" s="47"/>
      <c r="D33" s="47"/>
      <c r="E33" s="47"/>
      <c r="F33" s="47"/>
      <c r="G33" s="47"/>
      <c r="H33" s="47"/>
      <c r="I33" s="47"/>
      <c r="J33" s="47"/>
      <c r="K33" s="47"/>
      <c r="L33" s="47"/>
      <c r="M33" s="47"/>
    </row>
    <row r="34" spans="1:13" x14ac:dyDescent="0.25">
      <c r="A34" s="47"/>
      <c r="B34" s="47"/>
      <c r="C34" s="47"/>
      <c r="D34" s="47"/>
      <c r="E34" s="47"/>
      <c r="F34" s="47"/>
      <c r="G34" s="47"/>
      <c r="H34" s="47"/>
      <c r="I34" s="47"/>
      <c r="J34" s="47"/>
      <c r="K34" s="47"/>
      <c r="L34" s="47"/>
      <c r="M34" s="47"/>
    </row>
    <row r="35" spans="1:13" x14ac:dyDescent="0.25">
      <c r="A35" s="47"/>
      <c r="B35" s="47"/>
      <c r="C35" s="47"/>
      <c r="D35" s="47"/>
      <c r="E35" s="47"/>
      <c r="F35" s="47"/>
      <c r="G35" s="47"/>
      <c r="H35" s="47"/>
      <c r="I35" s="47"/>
      <c r="J35" s="47"/>
      <c r="K35" s="47"/>
      <c r="L35" s="47"/>
      <c r="M35" s="47"/>
    </row>
    <row r="36" spans="1:13" x14ac:dyDescent="0.25">
      <c r="A36" s="47"/>
      <c r="B36" s="47"/>
      <c r="C36" s="47"/>
      <c r="D36" s="47"/>
      <c r="E36" s="47"/>
      <c r="F36" s="47"/>
      <c r="G36" s="47"/>
      <c r="H36" s="47"/>
      <c r="I36" s="47"/>
      <c r="J36" s="47"/>
      <c r="K36" s="47"/>
      <c r="L36" s="47"/>
      <c r="M36" s="47"/>
    </row>
    <row r="37" spans="1:13" x14ac:dyDescent="0.25">
      <c r="A37" s="47"/>
      <c r="B37" s="47"/>
      <c r="C37" s="47"/>
      <c r="D37" s="47"/>
      <c r="E37" s="47"/>
      <c r="F37" s="47"/>
      <c r="G37" s="47"/>
      <c r="H37" s="47"/>
      <c r="I37" s="47"/>
      <c r="J37" s="47"/>
      <c r="K37" s="47"/>
      <c r="L37" s="47"/>
      <c r="M37" s="47"/>
    </row>
    <row r="38" spans="1:13" x14ac:dyDescent="0.25">
      <c r="A38" s="47"/>
      <c r="B38" s="47"/>
      <c r="C38" s="47"/>
      <c r="D38" s="47"/>
      <c r="E38" s="47"/>
      <c r="F38" s="47"/>
      <c r="G38" s="47"/>
      <c r="H38" s="47"/>
      <c r="I38" s="47"/>
      <c r="J38" s="47"/>
      <c r="K38" s="47"/>
      <c r="L38" s="47"/>
      <c r="M38" s="47"/>
    </row>
    <row r="39" spans="1:13" x14ac:dyDescent="0.25">
      <c r="A39" s="47"/>
      <c r="B39" s="47"/>
      <c r="C39" s="47"/>
      <c r="D39" s="47"/>
      <c r="E39" s="47"/>
      <c r="F39" s="47"/>
      <c r="G39" s="47"/>
      <c r="H39" s="47"/>
      <c r="I39" s="47"/>
      <c r="J39" s="47"/>
      <c r="K39" s="47"/>
      <c r="L39" s="47"/>
      <c r="M39" s="47"/>
    </row>
    <row r="40" spans="1:13" x14ac:dyDescent="0.25">
      <c r="A40" s="47"/>
      <c r="B40" s="47"/>
      <c r="C40" s="47"/>
      <c r="D40" s="47"/>
      <c r="E40" s="47"/>
      <c r="F40" s="47"/>
      <c r="G40" s="47"/>
      <c r="H40" s="47"/>
      <c r="I40" s="47"/>
      <c r="J40" s="47"/>
      <c r="K40" s="47"/>
      <c r="L40" s="47"/>
      <c r="M40" s="47"/>
    </row>
    <row r="41" spans="1:13" x14ac:dyDescent="0.25">
      <c r="A41" s="47"/>
      <c r="B41" s="47"/>
      <c r="C41" s="47"/>
      <c r="D41" s="47"/>
      <c r="E41" s="47"/>
      <c r="F41" s="47"/>
      <c r="G41" s="47"/>
      <c r="H41" s="47"/>
      <c r="I41" s="47"/>
      <c r="J41" s="47"/>
      <c r="K41" s="47"/>
      <c r="L41" s="47"/>
      <c r="M41" s="47"/>
    </row>
    <row r="42" spans="1:13" x14ac:dyDescent="0.25">
      <c r="A42" s="47"/>
      <c r="B42" s="47"/>
      <c r="C42" s="47"/>
      <c r="D42" s="47"/>
      <c r="E42" s="47"/>
      <c r="F42" s="47"/>
      <c r="G42" s="47"/>
      <c r="H42" s="47"/>
      <c r="I42" s="47"/>
      <c r="J42" s="47"/>
      <c r="K42" s="47"/>
      <c r="L42" s="47"/>
      <c r="M42" s="47"/>
    </row>
    <row r="43" spans="1:13" x14ac:dyDescent="0.25">
      <c r="A43" s="47"/>
      <c r="B43" s="47"/>
      <c r="C43" s="47"/>
      <c r="D43" s="47"/>
      <c r="E43" s="47"/>
      <c r="F43" s="47"/>
      <c r="G43" s="47"/>
      <c r="H43" s="47"/>
      <c r="I43" s="47"/>
      <c r="J43" s="47"/>
      <c r="K43" s="47"/>
      <c r="L43" s="47"/>
      <c r="M43" s="47"/>
    </row>
    <row r="44" spans="1:13" x14ac:dyDescent="0.25">
      <c r="A44" s="47"/>
      <c r="B44" s="47"/>
      <c r="C44" s="47"/>
      <c r="D44" s="47"/>
      <c r="E44" s="47"/>
      <c r="F44" s="47"/>
      <c r="G44" s="47"/>
      <c r="H44" s="47"/>
      <c r="I44" s="47"/>
      <c r="J44" s="47"/>
      <c r="K44" s="47"/>
      <c r="L44" s="47"/>
      <c r="M44" s="47"/>
    </row>
    <row r="45" spans="1:13" x14ac:dyDescent="0.25">
      <c r="A45" s="47"/>
      <c r="B45" s="47"/>
      <c r="C45" s="47"/>
      <c r="D45" s="47"/>
      <c r="E45" s="47"/>
      <c r="F45" s="47"/>
      <c r="G45" s="47"/>
      <c r="H45" s="47"/>
      <c r="I45" s="47"/>
      <c r="J45" s="47"/>
      <c r="K45" s="47"/>
      <c r="L45" s="47"/>
      <c r="M45" s="47"/>
    </row>
    <row r="46" spans="1:13" x14ac:dyDescent="0.25">
      <c r="A46" s="47"/>
      <c r="B46" s="47"/>
      <c r="C46" s="47"/>
      <c r="D46" s="47"/>
      <c r="E46" s="47"/>
      <c r="F46" s="47"/>
      <c r="G46" s="47"/>
      <c r="H46" s="47"/>
      <c r="I46" s="47"/>
      <c r="J46" s="47"/>
      <c r="K46" s="47"/>
      <c r="L46" s="47"/>
      <c r="M46" s="47"/>
    </row>
    <row r="47" spans="1:13" x14ac:dyDescent="0.25">
      <c r="A47" s="47"/>
      <c r="B47" s="47"/>
      <c r="C47" s="47"/>
      <c r="D47" s="47"/>
      <c r="E47" s="47"/>
      <c r="F47" s="47"/>
      <c r="G47" s="47"/>
      <c r="H47" s="47"/>
      <c r="I47" s="47"/>
      <c r="J47" s="47"/>
      <c r="K47" s="47"/>
      <c r="L47" s="47"/>
      <c r="M47" s="47"/>
    </row>
    <row r="48" spans="1:13" x14ac:dyDescent="0.25">
      <c r="A48" s="47"/>
      <c r="B48" s="47"/>
      <c r="C48" s="47"/>
      <c r="D48" s="47"/>
      <c r="E48" s="47"/>
      <c r="F48" s="47"/>
      <c r="G48" s="47"/>
      <c r="H48" s="47"/>
      <c r="I48" s="47"/>
      <c r="J48" s="47"/>
      <c r="K48" s="47"/>
      <c r="L48" s="47"/>
      <c r="M48" s="47"/>
    </row>
    <row r="49" spans="1:13" x14ac:dyDescent="0.25">
      <c r="A49" s="47"/>
      <c r="B49" s="47"/>
      <c r="C49" s="47"/>
      <c r="D49" s="47"/>
      <c r="E49" s="47"/>
      <c r="F49" s="47"/>
      <c r="G49" s="47"/>
      <c r="H49" s="47"/>
      <c r="I49" s="47"/>
      <c r="J49" s="47"/>
      <c r="K49" s="47"/>
      <c r="L49" s="47"/>
      <c r="M49" s="47"/>
    </row>
    <row r="50" spans="1:13" x14ac:dyDescent="0.25">
      <c r="A50" s="47"/>
      <c r="B50" s="47"/>
      <c r="C50" s="47"/>
      <c r="D50" s="47"/>
      <c r="E50" s="47"/>
      <c r="F50" s="47"/>
      <c r="G50" s="47"/>
      <c r="H50" s="47"/>
      <c r="I50" s="47"/>
      <c r="J50" s="47"/>
      <c r="K50" s="47"/>
      <c r="L50" s="47"/>
      <c r="M50" s="47"/>
    </row>
    <row r="51" spans="1:13" x14ac:dyDescent="0.25">
      <c r="A51" s="47"/>
      <c r="B51" s="47"/>
      <c r="C51" s="47"/>
      <c r="D51" s="47"/>
      <c r="E51" s="47"/>
      <c r="F51" s="47"/>
      <c r="G51" s="47"/>
      <c r="H51" s="47"/>
      <c r="I51" s="47"/>
      <c r="J51" s="47"/>
      <c r="K51" s="47"/>
      <c r="L51" s="47"/>
      <c r="M51" s="47"/>
    </row>
    <row r="52" spans="1:13" x14ac:dyDescent="0.25">
      <c r="A52" s="47"/>
      <c r="B52" s="47"/>
      <c r="C52" s="47"/>
      <c r="D52" s="47"/>
      <c r="E52" s="47"/>
      <c r="F52" s="47"/>
      <c r="G52" s="47"/>
      <c r="H52" s="47"/>
      <c r="I52" s="47"/>
      <c r="J52" s="47"/>
      <c r="K52" s="47"/>
      <c r="L52" s="47"/>
      <c r="M52" s="47"/>
    </row>
    <row r="53" spans="1:13" x14ac:dyDescent="0.25">
      <c r="A53" s="47"/>
      <c r="B53" s="47"/>
      <c r="C53" s="47"/>
      <c r="D53" s="47"/>
      <c r="E53" s="47"/>
      <c r="F53" s="47"/>
      <c r="G53" s="47"/>
      <c r="H53" s="47"/>
      <c r="I53" s="47"/>
      <c r="J53" s="47"/>
      <c r="K53" s="47"/>
      <c r="L53" s="47"/>
      <c r="M53" s="47"/>
    </row>
    <row r="54" spans="1:13" x14ac:dyDescent="0.25">
      <c r="A54" s="47"/>
      <c r="B54" s="47"/>
      <c r="C54" s="47"/>
      <c r="D54" s="47"/>
      <c r="E54" s="47"/>
      <c r="F54" s="47"/>
      <c r="G54" s="47"/>
      <c r="H54" s="47"/>
      <c r="I54" s="47"/>
      <c r="J54" s="47"/>
      <c r="K54" s="47"/>
      <c r="L54" s="47"/>
      <c r="M54" s="47"/>
    </row>
    <row r="55" spans="1:13" x14ac:dyDescent="0.25">
      <c r="A55" s="47"/>
      <c r="B55" s="47"/>
      <c r="C55" s="47"/>
      <c r="D55" s="47"/>
      <c r="E55" s="47"/>
      <c r="F55" s="47"/>
      <c r="G55" s="47"/>
      <c r="H55" s="47"/>
      <c r="I55" s="47"/>
      <c r="J55" s="47"/>
      <c r="K55" s="47"/>
      <c r="L55" s="47"/>
      <c r="M55" s="47"/>
    </row>
    <row r="56" spans="1:13" x14ac:dyDescent="0.25">
      <c r="A56" s="47"/>
      <c r="B56" s="47"/>
      <c r="C56" s="47"/>
      <c r="D56" s="47"/>
      <c r="E56" s="47"/>
      <c r="F56" s="47"/>
      <c r="G56" s="47"/>
      <c r="H56" s="47"/>
      <c r="I56" s="47"/>
      <c r="J56" s="47"/>
      <c r="K56" s="47"/>
      <c r="L56" s="47"/>
      <c r="M56" s="47"/>
    </row>
    <row r="57" spans="1:13" x14ac:dyDescent="0.25">
      <c r="A57" s="47"/>
      <c r="B57" s="47"/>
      <c r="C57" s="47"/>
      <c r="D57" s="47"/>
      <c r="E57" s="47"/>
      <c r="F57" s="47"/>
      <c r="G57" s="47"/>
      <c r="H57" s="47"/>
      <c r="I57" s="47"/>
      <c r="J57" s="47"/>
      <c r="K57" s="47"/>
      <c r="L57" s="47"/>
      <c r="M57" s="47"/>
    </row>
    <row r="58" spans="1:13" x14ac:dyDescent="0.25">
      <c r="A58" s="47"/>
      <c r="B58" s="47"/>
      <c r="C58" s="47"/>
      <c r="D58" s="47"/>
      <c r="E58" s="47"/>
      <c r="F58" s="47"/>
      <c r="G58" s="47"/>
      <c r="H58" s="47"/>
      <c r="I58" s="47"/>
      <c r="J58" s="47"/>
      <c r="K58" s="47"/>
      <c r="L58" s="47"/>
      <c r="M58" s="47"/>
    </row>
  </sheetData>
  <mergeCells count="1">
    <mergeCell ref="A31:M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A7B8-44A9-4D31-904F-6A57A98C3D9B}">
  <dimension ref="A1:J31"/>
  <sheetViews>
    <sheetView workbookViewId="0">
      <selection activeCell="B16" sqref="B16"/>
    </sheetView>
  </sheetViews>
  <sheetFormatPr defaultRowHeight="15" x14ac:dyDescent="0.25"/>
  <cols>
    <col min="1" max="1" width="26.140625" bestFit="1" customWidth="1"/>
    <col min="2" max="2" width="12.140625" bestFit="1" customWidth="1"/>
  </cols>
  <sheetData>
    <row r="1" spans="1:10" ht="18.75" x14ac:dyDescent="0.3">
      <c r="A1" s="27" t="s">
        <v>102</v>
      </c>
      <c r="B1" s="26"/>
      <c r="C1" s="26"/>
      <c r="D1" s="26"/>
      <c r="E1" s="26"/>
      <c r="F1" s="26"/>
      <c r="G1" s="26"/>
      <c r="H1" s="26"/>
      <c r="I1" s="26"/>
      <c r="J1" s="26"/>
    </row>
    <row r="2" spans="1:10" x14ac:dyDescent="0.25">
      <c r="B2" s="1"/>
    </row>
    <row r="3" spans="1:10" x14ac:dyDescent="0.25">
      <c r="A3" t="s">
        <v>96</v>
      </c>
    </row>
    <row r="4" spans="1:10" x14ac:dyDescent="0.25">
      <c r="A4" t="s">
        <v>77</v>
      </c>
      <c r="B4" s="1">
        <f>'Reverse DCF'!B2</f>
        <v>518400</v>
      </c>
    </row>
    <row r="5" spans="1:10" x14ac:dyDescent="0.25">
      <c r="A5" t="s">
        <v>5</v>
      </c>
      <c r="B5" s="1">
        <f>'Historical Financials'!O4</f>
        <v>14200</v>
      </c>
    </row>
    <row r="6" spans="1:10" x14ac:dyDescent="0.25">
      <c r="A6" t="s">
        <v>6</v>
      </c>
      <c r="B6" s="1">
        <f>'Historical Financials'!G4</f>
        <v>319769</v>
      </c>
    </row>
    <row r="8" spans="1:10" x14ac:dyDescent="0.25">
      <c r="A8" t="s">
        <v>97</v>
      </c>
    </row>
    <row r="9" spans="1:10" x14ac:dyDescent="0.25">
      <c r="A9" t="s">
        <v>2</v>
      </c>
      <c r="B9" s="2">
        <f>'Reverse DCF'!B3</f>
        <v>0.1915271408795462</v>
      </c>
    </row>
    <row r="10" spans="1:10" x14ac:dyDescent="0.25">
      <c r="A10" t="s">
        <v>81</v>
      </c>
      <c r="B10" s="2">
        <f>'Reverse DCF'!B4</f>
        <v>2.6234567901234566E-2</v>
      </c>
    </row>
    <row r="11" spans="1:10" x14ac:dyDescent="0.25">
      <c r="A11" t="s">
        <v>98</v>
      </c>
      <c r="B11" s="2">
        <f>'Reverse DCF'!B5</f>
        <v>0.25</v>
      </c>
    </row>
    <row r="13" spans="1:10" x14ac:dyDescent="0.25">
      <c r="A13" t="s">
        <v>99</v>
      </c>
    </row>
    <row r="14" spans="1:10" x14ac:dyDescent="0.25">
      <c r="A14" t="s">
        <v>79</v>
      </c>
      <c r="B14" s="2">
        <f>'Reverse DCF'!B6</f>
        <v>0.1</v>
      </c>
    </row>
    <row r="15" spans="1:10" x14ac:dyDescent="0.25">
      <c r="A15" t="s">
        <v>80</v>
      </c>
      <c r="B15" s="2">
        <f>'Reverse DCF'!B7</f>
        <v>-0.02</v>
      </c>
    </row>
    <row r="17" spans="1:4" x14ac:dyDescent="0.25">
      <c r="A17" t="s">
        <v>100</v>
      </c>
      <c r="B17" t="str">
        <f>'DCF Model'!A2</f>
        <v>Bear</v>
      </c>
    </row>
    <row r="18" spans="1:4" x14ac:dyDescent="0.25">
      <c r="B18" t="s">
        <v>93</v>
      </c>
      <c r="C18" t="s">
        <v>94</v>
      </c>
      <c r="D18" t="s">
        <v>95</v>
      </c>
    </row>
    <row r="19" spans="1:4" x14ac:dyDescent="0.25">
      <c r="A19" t="s">
        <v>101</v>
      </c>
      <c r="B19" s="2">
        <v>-0.06</v>
      </c>
      <c r="C19" s="2">
        <v>-0.04</v>
      </c>
      <c r="D19" s="2">
        <v>-2.4E-2</v>
      </c>
    </row>
    <row r="20" spans="1:4" x14ac:dyDescent="0.25">
      <c r="A20" t="s">
        <v>2</v>
      </c>
      <c r="B20" s="2">
        <v>0.18</v>
      </c>
      <c r="C20" s="2">
        <v>0.192</v>
      </c>
      <c r="D20" s="2">
        <v>0.2</v>
      </c>
    </row>
    <row r="21" spans="1:4" x14ac:dyDescent="0.25">
      <c r="A21" t="s">
        <v>81</v>
      </c>
      <c r="B21" s="2">
        <v>2.8000000000000001E-2</v>
      </c>
      <c r="C21" s="2">
        <v>2.5999999999999999E-2</v>
      </c>
      <c r="D21" s="2">
        <v>2.5000000000000001E-2</v>
      </c>
    </row>
    <row r="22" spans="1:4" x14ac:dyDescent="0.25">
      <c r="A22" t="s">
        <v>79</v>
      </c>
      <c r="B22" s="2">
        <v>0.105</v>
      </c>
      <c r="C22" s="2">
        <v>0.1</v>
      </c>
      <c r="D22" s="2">
        <v>9.5000000000000001E-2</v>
      </c>
    </row>
    <row r="23" spans="1:4" x14ac:dyDescent="0.25">
      <c r="A23" t="s">
        <v>80</v>
      </c>
      <c r="B23" s="2">
        <v>-0.03</v>
      </c>
      <c r="C23" s="2">
        <v>-0.02</v>
      </c>
      <c r="D23" s="2">
        <v>-0.01</v>
      </c>
    </row>
    <row r="27" spans="1:4" x14ac:dyDescent="0.25">
      <c r="B27" t="s">
        <v>93</v>
      </c>
      <c r="C27" t="s">
        <v>94</v>
      </c>
      <c r="D27" t="s">
        <v>95</v>
      </c>
    </row>
    <row r="28" spans="1:4" x14ac:dyDescent="0.25">
      <c r="A28" t="s">
        <v>12</v>
      </c>
    </row>
    <row r="29" spans="1:4" x14ac:dyDescent="0.25">
      <c r="A29" t="s">
        <v>103</v>
      </c>
    </row>
    <row r="30" spans="1:4" x14ac:dyDescent="0.25">
      <c r="A30" t="s">
        <v>104</v>
      </c>
    </row>
    <row r="31" spans="1:4" x14ac:dyDescent="0.25">
      <c r="A31" t="s">
        <v>105</v>
      </c>
    </row>
  </sheetData>
  <dataValidations count="1">
    <dataValidation type="list" allowBlank="1" showInputMessage="1" showErrorMessage="1" sqref="B17" xr:uid="{1F8634B9-C434-4896-8994-A519F4536B6E}">
      <formula1>$B$18:$D$18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6397-32A4-43F0-8F42-108419F8C2EF}">
  <dimension ref="A1:K31"/>
  <sheetViews>
    <sheetView workbookViewId="0">
      <selection activeCell="A2" sqref="A2"/>
    </sheetView>
  </sheetViews>
  <sheetFormatPr defaultRowHeight="15" x14ac:dyDescent="0.25"/>
  <cols>
    <col min="1" max="1" width="22.85546875" bestFit="1" customWidth="1"/>
    <col min="8" max="8" width="14.7109375" bestFit="1" customWidth="1"/>
    <col min="9" max="9" width="10.28515625" bestFit="1" customWidth="1"/>
  </cols>
  <sheetData>
    <row r="1" spans="1:11" ht="18.75" x14ac:dyDescent="0.3">
      <c r="A1" s="27" t="s">
        <v>106</v>
      </c>
      <c r="B1" s="26"/>
      <c r="C1" s="26"/>
      <c r="D1" s="26"/>
      <c r="E1" s="26"/>
      <c r="F1" s="26"/>
      <c r="G1" s="26"/>
      <c r="H1" s="26"/>
      <c r="I1" s="26"/>
      <c r="J1" s="26"/>
      <c r="K1" s="26"/>
    </row>
    <row r="2" spans="1:11" x14ac:dyDescent="0.25">
      <c r="A2" s="14" t="s">
        <v>93</v>
      </c>
    </row>
    <row r="3" spans="1:11" x14ac:dyDescent="0.25">
      <c r="A3" t="s">
        <v>112</v>
      </c>
      <c r="B3" s="3">
        <f>_xlfn.XLOOKUP('DCF Scenarios'!$B$17,'DCF Scenarios'!$B$18:$D$18,'DCF Scenarios'!$B$19:$D$19)</f>
        <v>-0.06</v>
      </c>
    </row>
    <row r="4" spans="1:11" x14ac:dyDescent="0.25">
      <c r="A4" t="s">
        <v>113</v>
      </c>
      <c r="B4" s="3">
        <f>_xlfn.XLOOKUP('DCF Scenarios'!$B$17,'DCF Scenarios'!$B$18:$D$18,'DCF Scenarios'!B20:D20)</f>
        <v>0.18</v>
      </c>
    </row>
    <row r="5" spans="1:11" x14ac:dyDescent="0.25">
      <c r="A5" t="s">
        <v>114</v>
      </c>
      <c r="B5" s="3">
        <f>_xlfn.XLOOKUP('DCF Scenarios'!$B$17,'DCF Scenarios'!B18:D18,'DCF Scenarios'!B21:D21)</f>
        <v>2.8000000000000001E-2</v>
      </c>
    </row>
    <row r="6" spans="1:11" x14ac:dyDescent="0.25">
      <c r="A6" t="s">
        <v>115</v>
      </c>
      <c r="B6" s="3">
        <f>_xlfn.XLOOKUP('DCF Scenarios'!$B$17,'DCF Scenarios'!$B$18:$D$18,'DCF Scenarios'!$B$22:$D$22)</f>
        <v>0.105</v>
      </c>
    </row>
    <row r="7" spans="1:11" x14ac:dyDescent="0.25">
      <c r="A7" t="s">
        <v>116</v>
      </c>
      <c r="B7" s="3">
        <f>_xlfn.XLOOKUP('DCF Scenarios'!$B$17,'DCF Scenarios'!$B$18:$D$18,'DCF Scenarios'!$B$23:$D$23)</f>
        <v>-0.03</v>
      </c>
    </row>
    <row r="9" spans="1:11" ht="15.75" x14ac:dyDescent="0.25">
      <c r="A9" t="s">
        <v>0</v>
      </c>
      <c r="B9" t="s">
        <v>1</v>
      </c>
      <c r="C9" t="s">
        <v>82</v>
      </c>
      <c r="D9" t="s">
        <v>78</v>
      </c>
      <c r="E9" t="s">
        <v>84</v>
      </c>
      <c r="F9" t="s">
        <v>4</v>
      </c>
      <c r="G9" t="s">
        <v>29</v>
      </c>
      <c r="H9" t="s">
        <v>85</v>
      </c>
      <c r="I9" t="s">
        <v>86</v>
      </c>
      <c r="J9" s="5" t="s">
        <v>110</v>
      </c>
      <c r="K9" t="s">
        <v>118</v>
      </c>
    </row>
    <row r="10" spans="1:11" ht="15.75" x14ac:dyDescent="0.25">
      <c r="A10">
        <v>2026</v>
      </c>
      <c r="B10" s="1">
        <f>'DCF Scenarios'!B4</f>
        <v>518400</v>
      </c>
      <c r="C10" s="1">
        <f>B10*$B$4</f>
        <v>93312</v>
      </c>
      <c r="D10" s="1">
        <f>C10*'DCF Scenarios'!$B$11</f>
        <v>23328</v>
      </c>
      <c r="E10" s="1">
        <f>C10-D10</f>
        <v>69984</v>
      </c>
      <c r="F10" s="1">
        <f>B10*$B$5</f>
        <v>14515.2</v>
      </c>
      <c r="G10" s="1">
        <f t="shared" ref="G10:G19" si="0">E10-F10</f>
        <v>55468.800000000003</v>
      </c>
      <c r="H10" s="42">
        <f>1/(1+$B$6)^1</f>
        <v>0.90497737556561086</v>
      </c>
      <c r="I10" s="1">
        <f>G10*H10</f>
        <v>50198.009049773762</v>
      </c>
      <c r="J10" s="5">
        <f>'Cash Harvest Model'!I3</f>
        <v>59100</v>
      </c>
      <c r="K10" s="1">
        <f>J10*H10</f>
        <v>53484.162895927599</v>
      </c>
    </row>
    <row r="11" spans="1:11" ht="15.75" x14ac:dyDescent="0.25">
      <c r="A11">
        <v>2027</v>
      </c>
      <c r="B11" s="1">
        <f>B10*(1+$B$3)</f>
        <v>487296</v>
      </c>
      <c r="C11" s="1">
        <f t="shared" ref="C11:C19" si="1">B11*$B$4</f>
        <v>87713.279999999999</v>
      </c>
      <c r="D11" s="1">
        <f>C11*'DCF Scenarios'!$B$11</f>
        <v>21928.32</v>
      </c>
      <c r="E11" s="1">
        <f t="shared" ref="E11:E19" si="2">C11-D11</f>
        <v>65784.959999999992</v>
      </c>
      <c r="F11" s="1">
        <f t="shared" ref="F11:F19" si="3">B11*$B$5</f>
        <v>13644.288</v>
      </c>
      <c r="G11" s="1">
        <f t="shared" si="0"/>
        <v>52140.671999999991</v>
      </c>
      <c r="H11" s="42">
        <f>1/(1+B6)^2</f>
        <v>0.81898405028562071</v>
      </c>
      <c r="I11" s="1">
        <f t="shared" ref="I11:I19" si="4">G11*H11</f>
        <v>42702.378739174048</v>
      </c>
      <c r="J11" s="5">
        <f>'Cash Harvest Model'!I4</f>
        <v>58200</v>
      </c>
      <c r="K11" s="1">
        <f t="shared" ref="K11:K19" si="5">J11*H11</f>
        <v>47664.871726623125</v>
      </c>
    </row>
    <row r="12" spans="1:11" ht="15.75" x14ac:dyDescent="0.25">
      <c r="A12">
        <v>2028</v>
      </c>
      <c r="B12" s="1">
        <f t="shared" ref="B12:B19" si="6">B11*(1+$B$3)</f>
        <v>458058.23999999999</v>
      </c>
      <c r="C12" s="1">
        <f t="shared" si="1"/>
        <v>82450.483200000002</v>
      </c>
      <c r="D12" s="1">
        <f>C12*'DCF Scenarios'!$B$11</f>
        <v>20612.620800000001</v>
      </c>
      <c r="E12" s="1">
        <f t="shared" si="2"/>
        <v>61837.862399999998</v>
      </c>
      <c r="F12" s="1">
        <f t="shared" si="3"/>
        <v>12825.630719999999</v>
      </c>
      <c r="G12" s="1">
        <f t="shared" si="0"/>
        <v>49012.231679999997</v>
      </c>
      <c r="H12" s="42">
        <f>1/(1+$B$6)^3</f>
        <v>0.74116203645757528</v>
      </c>
      <c r="I12" s="1">
        <f t="shared" si="4"/>
        <v>36326.005443279282</v>
      </c>
      <c r="J12" s="5">
        <f>'Cash Harvest Model'!I5</f>
        <v>15300</v>
      </c>
      <c r="K12" s="1">
        <f t="shared" si="5"/>
        <v>11339.779157800902</v>
      </c>
    </row>
    <row r="13" spans="1:11" ht="15.75" x14ac:dyDescent="0.25">
      <c r="A13">
        <v>2029</v>
      </c>
      <c r="B13" s="1">
        <f t="shared" si="6"/>
        <v>430574.74559999997</v>
      </c>
      <c r="C13" s="1">
        <f t="shared" si="1"/>
        <v>77503.454207999996</v>
      </c>
      <c r="D13" s="1">
        <f>C13*'DCF Scenarios'!$B$11</f>
        <v>19375.863551999999</v>
      </c>
      <c r="E13" s="1">
        <f t="shared" si="2"/>
        <v>58127.590656</v>
      </c>
      <c r="F13" s="1">
        <f t="shared" si="3"/>
        <v>12056.092876799999</v>
      </c>
      <c r="G13" s="1">
        <f t="shared" si="0"/>
        <v>46071.497779199999</v>
      </c>
      <c r="H13" s="42">
        <f>1/(1+$B$6)^4</f>
        <v>0.67073487462224002</v>
      </c>
      <c r="I13" s="1">
        <f t="shared" si="4"/>
        <v>30901.760286590521</v>
      </c>
      <c r="J13" s="5">
        <f>'Cash Harvest Model'!I6</f>
        <v>15000</v>
      </c>
      <c r="K13" s="1">
        <f t="shared" si="5"/>
        <v>10061.0231193336</v>
      </c>
    </row>
    <row r="14" spans="1:11" ht="15.75" x14ac:dyDescent="0.25">
      <c r="A14">
        <v>2030</v>
      </c>
      <c r="B14" s="1">
        <f t="shared" si="6"/>
        <v>404740.26086399995</v>
      </c>
      <c r="C14" s="1">
        <f t="shared" si="1"/>
        <v>72853.246955519993</v>
      </c>
      <c r="D14" s="1">
        <f>C14*'DCF Scenarios'!$B$11</f>
        <v>18213.311738879998</v>
      </c>
      <c r="E14" s="1">
        <f t="shared" si="2"/>
        <v>54639.935216639991</v>
      </c>
      <c r="F14" s="1">
        <f t="shared" si="3"/>
        <v>11332.727304192</v>
      </c>
      <c r="G14" s="1">
        <f t="shared" si="0"/>
        <v>43307.207912447993</v>
      </c>
      <c r="H14" s="42">
        <f>1/(1+$B$6)^5</f>
        <v>0.60699988653596382</v>
      </c>
      <c r="I14" s="1">
        <f t="shared" si="4"/>
        <v>26287.470289045326</v>
      </c>
      <c r="J14" s="5">
        <f>'Cash Harvest Model'!I7</f>
        <v>15000</v>
      </c>
      <c r="K14" s="1">
        <f t="shared" si="5"/>
        <v>9104.9982980394579</v>
      </c>
    </row>
    <row r="15" spans="1:11" ht="15.75" x14ac:dyDescent="0.25">
      <c r="A15">
        <v>2031</v>
      </c>
      <c r="B15" s="1">
        <f t="shared" si="6"/>
        <v>380455.84521215991</v>
      </c>
      <c r="C15" s="1">
        <f t="shared" si="1"/>
        <v>68482.052138188781</v>
      </c>
      <c r="D15" s="1">
        <f>C15*'DCF Scenarios'!$B$11</f>
        <v>17120.513034547195</v>
      </c>
      <c r="E15" s="1">
        <f t="shared" si="2"/>
        <v>51361.539103641582</v>
      </c>
      <c r="F15" s="1">
        <f t="shared" si="3"/>
        <v>10652.763665940478</v>
      </c>
      <c r="G15" s="1">
        <f t="shared" si="0"/>
        <v>40708.775437701101</v>
      </c>
      <c r="H15" s="42">
        <f>1/(1+$B$6)^6</f>
        <v>0.54932116428594002</v>
      </c>
      <c r="I15" s="1">
        <f t="shared" si="4"/>
        <v>22362.191920092846</v>
      </c>
      <c r="J15" s="5">
        <f>'Cash Harvest Model'!I8</f>
        <v>15000</v>
      </c>
      <c r="K15" s="1">
        <f t="shared" si="5"/>
        <v>8239.8174642891008</v>
      </c>
    </row>
    <row r="16" spans="1:11" ht="15.75" x14ac:dyDescent="0.25">
      <c r="A16">
        <v>2032</v>
      </c>
      <c r="B16" s="1">
        <f t="shared" si="6"/>
        <v>357628.49449943029</v>
      </c>
      <c r="C16" s="1">
        <f t="shared" si="1"/>
        <v>64373.12900989745</v>
      </c>
      <c r="D16" s="1">
        <f>C16*'DCF Scenarios'!$B$11</f>
        <v>16093.282252474362</v>
      </c>
      <c r="E16" s="1">
        <f t="shared" si="2"/>
        <v>48279.846757423089</v>
      </c>
      <c r="F16" s="1">
        <f t="shared" si="3"/>
        <v>10013.597845984048</v>
      </c>
      <c r="G16" s="1">
        <f t="shared" si="0"/>
        <v>38266.248911439041</v>
      </c>
      <c r="H16" s="42">
        <f>1/(1+$B$6)^7</f>
        <v>0.49712322559813582</v>
      </c>
      <c r="I16" s="1">
        <f t="shared" si="4"/>
        <v>19023.041090395731</v>
      </c>
      <c r="J16" s="5">
        <f>'Cash Harvest Model'!I9</f>
        <v>15000</v>
      </c>
      <c r="K16" s="1">
        <f t="shared" si="5"/>
        <v>7456.8483839720375</v>
      </c>
    </row>
    <row r="17" spans="1:11" ht="15.75" x14ac:dyDescent="0.25">
      <c r="A17">
        <v>2033</v>
      </c>
      <c r="B17" s="1">
        <f t="shared" si="6"/>
        <v>336170.78482946445</v>
      </c>
      <c r="C17" s="1">
        <f t="shared" si="1"/>
        <v>60510.741269303602</v>
      </c>
      <c r="D17" s="1">
        <f>C17*'DCF Scenarios'!$B$11</f>
        <v>15127.685317325901</v>
      </c>
      <c r="E17" s="1">
        <f t="shared" si="2"/>
        <v>45383.055951977702</v>
      </c>
      <c r="F17" s="1">
        <f t="shared" si="3"/>
        <v>9412.7819752250052</v>
      </c>
      <c r="G17" s="1">
        <f t="shared" si="0"/>
        <v>35970.273976752695</v>
      </c>
      <c r="H17" s="42">
        <f>1/(1+$B$6)^8</f>
        <v>0.44988527203451206</v>
      </c>
      <c r="I17" s="1">
        <f t="shared" si="4"/>
        <v>16182.496493187316</v>
      </c>
      <c r="J17" s="5">
        <f>'Cash Harvest Model'!I10</f>
        <v>15000</v>
      </c>
      <c r="K17" s="1">
        <f t="shared" si="5"/>
        <v>6748.279080517681</v>
      </c>
    </row>
    <row r="18" spans="1:11" ht="15.75" x14ac:dyDescent="0.25">
      <c r="A18">
        <v>2034</v>
      </c>
      <c r="B18" s="1">
        <f t="shared" si="6"/>
        <v>316000.53773969656</v>
      </c>
      <c r="C18" s="1">
        <f t="shared" si="1"/>
        <v>56880.096793145378</v>
      </c>
      <c r="D18" s="1">
        <f>C18*'DCF Scenarios'!$B$11</f>
        <v>14220.024198286344</v>
      </c>
      <c r="E18" s="1">
        <f t="shared" si="2"/>
        <v>42660.072594859033</v>
      </c>
      <c r="F18" s="1">
        <f t="shared" si="3"/>
        <v>8848.0150567115033</v>
      </c>
      <c r="G18" s="1">
        <f t="shared" si="0"/>
        <v>33812.057538147528</v>
      </c>
      <c r="H18" s="42">
        <f>1/(1+$B$6)^9</f>
        <v>0.40713599279141366</v>
      </c>
      <c r="I18" s="1">
        <f t="shared" si="4"/>
        <v>13766.105614114096</v>
      </c>
      <c r="J18" s="5">
        <f>'Cash Harvest Model'!I11</f>
        <v>15000</v>
      </c>
      <c r="K18" s="1">
        <f t="shared" si="5"/>
        <v>6107.0398918712053</v>
      </c>
    </row>
    <row r="19" spans="1:11" ht="15.75" x14ac:dyDescent="0.25">
      <c r="A19">
        <v>2035</v>
      </c>
      <c r="B19" s="1">
        <f t="shared" si="6"/>
        <v>297040.50547531474</v>
      </c>
      <c r="C19" s="1">
        <f t="shared" si="1"/>
        <v>53467.290985556654</v>
      </c>
      <c r="D19" s="1">
        <f>C19*'DCF Scenarios'!$B$11</f>
        <v>13366.822746389164</v>
      </c>
      <c r="E19" s="1">
        <f t="shared" si="2"/>
        <v>40100.468239167487</v>
      </c>
      <c r="F19" s="1">
        <f t="shared" si="3"/>
        <v>8317.1341533088125</v>
      </c>
      <c r="G19" s="1">
        <f t="shared" si="0"/>
        <v>31783.334085858674</v>
      </c>
      <c r="H19" s="42">
        <f>1/(1+$B$6)^10</f>
        <v>0.36844886225467294</v>
      </c>
      <c r="I19" s="1">
        <f t="shared" si="4"/>
        <v>11710.533282594793</v>
      </c>
      <c r="J19" s="5">
        <f>'Cash Harvest Model'!I12</f>
        <v>15000</v>
      </c>
      <c r="K19" s="1">
        <f t="shared" si="5"/>
        <v>5526.7329338200943</v>
      </c>
    </row>
    <row r="20" spans="1:11" x14ac:dyDescent="0.25">
      <c r="I20" s="1">
        <f>SUM(I10:I19)</f>
        <v>269459.99220824777</v>
      </c>
      <c r="J20" s="1"/>
      <c r="K20" s="1">
        <f>SUM(K10:K19)</f>
        <v>165733.55295219482</v>
      </c>
    </row>
    <row r="21" spans="1:11" x14ac:dyDescent="0.25">
      <c r="A21" t="s">
        <v>87</v>
      </c>
      <c r="B21" s="1">
        <f>G19*(1+$B$7)</f>
        <v>30829.834063282913</v>
      </c>
    </row>
    <row r="22" spans="1:11" x14ac:dyDescent="0.25">
      <c r="A22" t="s">
        <v>89</v>
      </c>
      <c r="B22" s="1">
        <f>B21/($B$6-$B$7)</f>
        <v>228369.14120950305</v>
      </c>
    </row>
    <row r="23" spans="1:11" x14ac:dyDescent="0.25">
      <c r="A23" t="s">
        <v>88</v>
      </c>
      <c r="B23" s="1">
        <f>B22*H19</f>
        <v>84142.350252718141</v>
      </c>
    </row>
    <row r="24" spans="1:11" x14ac:dyDescent="0.25">
      <c r="A24" t="s">
        <v>12</v>
      </c>
      <c r="B24" s="1">
        <f>SUM(I10:I19)+B23</f>
        <v>353602.34246096591</v>
      </c>
    </row>
    <row r="26" spans="1:11" x14ac:dyDescent="0.25">
      <c r="A26" t="s">
        <v>5</v>
      </c>
      <c r="B26" s="1">
        <f>'Historical Financials'!O4</f>
        <v>14200</v>
      </c>
    </row>
    <row r="27" spans="1:11" x14ac:dyDescent="0.25">
      <c r="A27" t="s">
        <v>117</v>
      </c>
      <c r="B27" s="1">
        <f>K20</f>
        <v>165733.55295219482</v>
      </c>
    </row>
    <row r="28" spans="1:11" x14ac:dyDescent="0.25">
      <c r="A28" t="s">
        <v>103</v>
      </c>
      <c r="B28" s="1">
        <f>B24-B26-B27</f>
        <v>173668.78950877109</v>
      </c>
    </row>
    <row r="29" spans="1:11" x14ac:dyDescent="0.25">
      <c r="A29" t="s">
        <v>119</v>
      </c>
      <c r="B29" s="8">
        <v>0.61</v>
      </c>
    </row>
    <row r="30" spans="1:11" x14ac:dyDescent="0.25">
      <c r="A30" t="s">
        <v>120</v>
      </c>
      <c r="B30" s="1">
        <f>'Historical Financials'!G4</f>
        <v>319769</v>
      </c>
    </row>
    <row r="31" spans="1:11" x14ac:dyDescent="0.25">
      <c r="A31" t="s">
        <v>121</v>
      </c>
      <c r="B31" s="45">
        <f>B28/B30</f>
        <v>0.54310702259684673</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2CFB54-A176-4F52-A07C-E4DFE45B9640}">
          <x14:formula1>
            <xm:f>'DCF Scenarios'!$B$18:$D$18</xm:f>
          </x14:formula1>
          <xm:sqref>A2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714A-4B10-4ECA-9BBE-CF36D327E1CF}">
  <dimension ref="A1:M2"/>
  <sheetViews>
    <sheetView tabSelected="1" workbookViewId="0">
      <selection activeCell="G27" sqref="G27"/>
    </sheetView>
  </sheetViews>
  <sheetFormatPr defaultRowHeight="15" x14ac:dyDescent="0.25"/>
  <cols>
    <col min="1" max="1" width="12.28515625" bestFit="1" customWidth="1"/>
    <col min="2" max="2" width="17.28515625" bestFit="1" customWidth="1"/>
    <col min="3" max="3" width="9.42578125" bestFit="1" customWidth="1"/>
    <col min="4" max="4" width="8.5703125" bestFit="1" customWidth="1"/>
    <col min="5" max="5" width="9.28515625" bestFit="1" customWidth="1"/>
    <col min="6" max="6" width="12" bestFit="1" customWidth="1"/>
    <col min="8" max="8" width="6.5703125" bestFit="1" customWidth="1"/>
    <col min="9" max="9" width="7.5703125" bestFit="1" customWidth="1"/>
    <col min="10" max="10" width="8.5703125" bestFit="1" customWidth="1"/>
    <col min="11" max="11" width="5.5703125" bestFit="1" customWidth="1"/>
    <col min="12" max="12" width="7.5703125" bestFit="1" customWidth="1"/>
    <col min="13" max="13" width="11.7109375" bestFit="1" customWidth="1"/>
  </cols>
  <sheetData>
    <row r="1" spans="1:13" ht="15.75" x14ac:dyDescent="0.25">
      <c r="A1" s="7" t="s">
        <v>11</v>
      </c>
      <c r="B1" s="7" t="s">
        <v>12</v>
      </c>
      <c r="C1" s="7" t="s">
        <v>13</v>
      </c>
      <c r="D1" s="7" t="s">
        <v>14</v>
      </c>
      <c r="E1" s="7" t="s">
        <v>20</v>
      </c>
      <c r="F1" s="7" t="s">
        <v>15</v>
      </c>
      <c r="H1" s="7" t="s">
        <v>29</v>
      </c>
      <c r="I1" s="7" t="s">
        <v>30</v>
      </c>
      <c r="J1" s="7" t="s">
        <v>31</v>
      </c>
      <c r="K1" s="7" t="s">
        <v>32</v>
      </c>
      <c r="L1" s="7" t="s">
        <v>33</v>
      </c>
      <c r="M1" s="7" t="s">
        <v>34</v>
      </c>
    </row>
    <row r="2" spans="1:13" ht="15.75" x14ac:dyDescent="0.25">
      <c r="A2" s="38">
        <v>195059.09</v>
      </c>
      <c r="B2" s="38">
        <v>209259.09</v>
      </c>
      <c r="C2" s="39">
        <v>4.3063873619014627E-2</v>
      </c>
      <c r="D2" s="40">
        <v>2.0515597058823527</v>
      </c>
      <c r="E2" s="39">
        <v>8.2352941176470587E-2</v>
      </c>
      <c r="F2" s="41">
        <v>0.61</v>
      </c>
      <c r="H2" s="1">
        <f>'Historical Financials'!L4</f>
        <v>89900</v>
      </c>
      <c r="I2" s="1">
        <f>B2</f>
        <v>209259.09</v>
      </c>
      <c r="J2" s="37">
        <f>I2/H2</f>
        <v>2.3276873192436041</v>
      </c>
      <c r="K2" s="1">
        <f>'Historical Financials'!N4</f>
        <v>8400</v>
      </c>
      <c r="L2" s="1">
        <f>A2</f>
        <v>195059.09</v>
      </c>
      <c r="M2" s="37">
        <f>L2/K2</f>
        <v>23.221320238095238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Historical Financials</vt:lpstr>
      <vt:lpstr>FCF Normalization</vt:lpstr>
      <vt:lpstr>Cash Harvest Model</vt:lpstr>
      <vt:lpstr>Reverse DCF</vt:lpstr>
      <vt:lpstr>DCF Scenarios</vt:lpstr>
      <vt:lpstr>DCF Model</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M</dc:creator>
  <cp:lastModifiedBy>Steven M</cp:lastModifiedBy>
  <dcterms:created xsi:type="dcterms:W3CDTF">2015-06-05T18:17:20Z</dcterms:created>
  <dcterms:modified xsi:type="dcterms:W3CDTF">2026-03-15T23:36:47Z</dcterms:modified>
</cp:coreProperties>
</file>